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andrea_marini_regione_emilia-romagna_it/Documents/Agrea/prezziario/rendicontazione 2023/calcolo manodopera 2023/versione ufficiale/"/>
    </mc:Choice>
  </mc:AlternateContent>
  <xr:revisionPtr revIDLastSave="35" documentId="8_{EDFA0A15-050B-4795-8A5E-73F0FE690117}" xr6:coauthVersionLast="47" xr6:coauthVersionMax="47" xr10:uidLastSave="{28FD4A4F-14BE-4368-86FF-4474A42A3B96}"/>
  <workbookProtection workbookAlgorithmName="SHA-512" workbookHashValue="JV4nkbF4WqE+347WOMrDTrtzXDs/dh+8VMW8LRdXXt//1eXTquPAvcZV1MlaTm6UhokbzebpHF4VtuuInfoS9Q==" workbookSaltValue="ssSJb08Yo/XpL3zltV6ZIw==" workbookSpinCount="100000" lockStructure="1"/>
  <bookViews>
    <workbookView xWindow="-110" yWindow="-110" windowWidth="19420" windowHeight="10420" tabRatio="836" xr2:uid="{00000000-000D-0000-FFFF-FFFF00000000}"/>
  </bookViews>
  <sheets>
    <sheet name="Descrizione" sheetId="7" r:id="rId1"/>
    <sheet name="Descrizione2C" sheetId="9" r:id="rId2"/>
    <sheet name="Descrizione3C" sheetId="11" r:id="rId3"/>
    <sheet name="Vitigni" sheetId="8" r:id="rId4"/>
    <sheet name="Fatturate" sheetId="5" r:id="rId5"/>
    <sheet name="Economia" sheetId="1" r:id="rId6"/>
    <sheet name="Riepilogo costi sostenuti" sheetId="6" r:id="rId7"/>
    <sheet name="Prova1" sheetId="12" state="hidden" r:id="rId8"/>
    <sheet name="Calcoli" sheetId="10" state="hidden" r:id="rId9"/>
  </sheets>
  <definedNames>
    <definedName name="_xlnm._FilterDatabase" localSheetId="5" hidden="1">Economia!$A$9:$H$32</definedName>
    <definedName name="_xlnm.Print_Area" localSheetId="0">Descrizione!$A$1:$U$18</definedName>
    <definedName name="_xlnm.Print_Area" localSheetId="1">Descrizione2C!$A$1:$H$20</definedName>
    <definedName name="_xlnm.Print_Area" localSheetId="5">Economia!$A$1:$H$50</definedName>
    <definedName name="_xlnm.Print_Area" localSheetId="4">Fatturate!$A$1:$N$59</definedName>
    <definedName name="_xlnm.Print_Area" localSheetId="6">'Riepilogo costi sostenuti'!$A$1:$I$30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16" i="8"/>
  <c r="M59" i="5" l="1"/>
  <c r="G9" i="6"/>
  <c r="F8" i="6"/>
  <c r="F7" i="6"/>
  <c r="N8" i="5"/>
  <c r="C8" i="6"/>
  <c r="C7" i="6"/>
  <c r="D8" i="1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39" i="5"/>
  <c r="N38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0" i="5"/>
  <c r="N19" i="5"/>
  <c r="N18" i="5"/>
  <c r="N16" i="5"/>
  <c r="N15" i="5"/>
  <c r="N14" i="5"/>
  <c r="N13" i="5"/>
  <c r="N12" i="5"/>
  <c r="N11" i="5"/>
  <c r="N10" i="5"/>
  <c r="N9" i="5"/>
  <c r="N6" i="5"/>
  <c r="N5" i="5"/>
  <c r="N4" i="5"/>
  <c r="J41" i="12"/>
  <c r="S39" i="12"/>
  <c r="S38" i="12"/>
  <c r="S37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R39" i="12"/>
  <c r="R38" i="12"/>
  <c r="R37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J42" i="12"/>
  <c r="S5" i="12"/>
  <c r="R5" i="12"/>
  <c r="I36" i="12"/>
  <c r="F26" i="12"/>
  <c r="F25" i="12"/>
  <c r="F24" i="12"/>
  <c r="F23" i="12"/>
  <c r="I22" i="12"/>
  <c r="F9" i="12"/>
  <c r="F8" i="12"/>
  <c r="F7" i="12"/>
  <c r="I6" i="12"/>
  <c r="F5" i="12"/>
  <c r="D3" i="12"/>
  <c r="C3" i="12"/>
  <c r="C9" i="6" l="1"/>
  <c r="F9" i="6"/>
  <c r="J43" i="12"/>
  <c r="M18" i="10"/>
  <c r="M19" i="10" s="1"/>
  <c r="M17" i="10"/>
  <c r="M21" i="10" s="1"/>
  <c r="M13" i="10"/>
  <c r="M7" i="10"/>
  <c r="M5" i="10"/>
  <c r="M4" i="10"/>
  <c r="M3" i="10"/>
  <c r="M6" i="10" s="1"/>
  <c r="G24" i="10"/>
  <c r="F26" i="10" s="1"/>
  <c r="F22" i="10"/>
  <c r="F20" i="10"/>
  <c r="F17" i="10"/>
  <c r="F16" i="10"/>
  <c r="F14" i="10"/>
  <c r="F9" i="10"/>
  <c r="F11" i="10" s="1"/>
  <c r="F5" i="10"/>
  <c r="F3" i="10"/>
  <c r="C2" i="11"/>
  <c r="G15" i="11"/>
  <c r="R9" i="11"/>
  <c r="G6" i="11"/>
  <c r="F4" i="10" s="1"/>
  <c r="N5" i="11"/>
  <c r="G24" i="6"/>
  <c r="G21" i="6"/>
  <c r="G18" i="6"/>
  <c r="G15" i="6"/>
  <c r="G12" i="6"/>
  <c r="G6" i="6"/>
  <c r="F22" i="1"/>
  <c r="G18" i="1"/>
  <c r="G15" i="1"/>
  <c r="F10" i="6" s="1"/>
  <c r="G26" i="6" l="1"/>
  <c r="G25" i="6"/>
  <c r="M31" i="10"/>
  <c r="F6" i="10"/>
  <c r="F7" i="10" s="1"/>
  <c r="M29" i="10"/>
  <c r="M30" i="10" s="1"/>
  <c r="F12" i="10"/>
  <c r="M8" i="10"/>
  <c r="F24" i="10"/>
  <c r="M10" i="10"/>
  <c r="M24" i="10"/>
  <c r="M25" i="10" s="1"/>
  <c r="M20" i="10"/>
  <c r="M11" i="10"/>
  <c r="M12" i="10"/>
  <c r="M14" i="10" s="1"/>
  <c r="M16" i="10" s="1"/>
  <c r="M22" i="10"/>
  <c r="M23" i="10" s="1"/>
  <c r="F21" i="10"/>
  <c r="F13" i="10"/>
  <c r="F18" i="10"/>
  <c r="F27" i="10"/>
  <c r="F10" i="10"/>
  <c r="F29" i="10" s="1"/>
  <c r="F30" i="10" s="1"/>
  <c r="F19" i="6"/>
  <c r="F16" i="6"/>
  <c r="L37" i="5"/>
  <c r="F17" i="6" s="1"/>
  <c r="F19" i="10" l="1"/>
  <c r="F25" i="10" s="1"/>
  <c r="F28" i="10"/>
  <c r="F23" i="10"/>
  <c r="G14" i="9"/>
  <c r="G14" i="7"/>
  <c r="H27" i="6"/>
  <c r="H32" i="1"/>
  <c r="C2" i="9"/>
  <c r="G30" i="1"/>
  <c r="F22" i="6" s="1"/>
  <c r="F13" i="6"/>
  <c r="G7" i="1"/>
  <c r="F4" i="6" s="1"/>
  <c r="F13" i="8"/>
  <c r="F12" i="8"/>
  <c r="F11" i="8"/>
  <c r="F10" i="8"/>
  <c r="F9" i="8"/>
  <c r="F8" i="8"/>
  <c r="F7" i="8"/>
  <c r="G13" i="8"/>
  <c r="G12" i="8"/>
  <c r="G11" i="8"/>
  <c r="G10" i="8"/>
  <c r="G9" i="8"/>
  <c r="G8" i="8"/>
  <c r="G7" i="8"/>
  <c r="G6" i="8"/>
  <c r="F6" i="8"/>
  <c r="E30" i="1"/>
  <c r="D30" i="1" s="1"/>
  <c r="D10" i="1"/>
  <c r="D9" i="1"/>
  <c r="D11" i="1"/>
  <c r="D13" i="1"/>
  <c r="D12" i="1"/>
  <c r="D14" i="1"/>
  <c r="D16" i="1"/>
  <c r="D17" i="1"/>
  <c r="D20" i="1"/>
  <c r="D19" i="1"/>
  <c r="D6" i="1"/>
  <c r="D5" i="1"/>
  <c r="D29" i="1"/>
  <c r="D28" i="1"/>
  <c r="D27" i="1"/>
  <c r="D26" i="1"/>
  <c r="D25" i="1"/>
  <c r="D24" i="1"/>
  <c r="D23" i="1"/>
  <c r="D22" i="1"/>
  <c r="L55" i="5"/>
  <c r="F23" i="6" s="1"/>
  <c r="L40" i="5"/>
  <c r="F20" i="6" s="1"/>
  <c r="L21" i="5"/>
  <c r="F14" i="6" s="1"/>
  <c r="F25" i="1"/>
  <c r="F24" i="1"/>
  <c r="F23" i="1"/>
  <c r="G6" i="7"/>
  <c r="G6" i="9"/>
  <c r="H8" i="8" l="1"/>
  <c r="H7" i="8"/>
  <c r="F24" i="6"/>
  <c r="H12" i="8"/>
  <c r="H10" i="8"/>
  <c r="H6" i="8"/>
  <c r="L17" i="5"/>
  <c r="F11" i="6" s="1"/>
  <c r="L18" i="10"/>
  <c r="L22" i="10" s="1"/>
  <c r="L23" i="10" s="1"/>
  <c r="K18" i="10"/>
  <c r="K19" i="10" s="1"/>
  <c r="L17" i="10"/>
  <c r="L21" i="10" s="1"/>
  <c r="K17" i="10"/>
  <c r="K21" i="10" s="1"/>
  <c r="L13" i="10"/>
  <c r="K13" i="10"/>
  <c r="K7" i="10"/>
  <c r="L7" i="10"/>
  <c r="L7" i="5"/>
  <c r="F5" i="6" s="1"/>
  <c r="N21" i="10" l="1"/>
  <c r="L16" i="10"/>
  <c r="L11" i="10"/>
  <c r="L12" i="10"/>
  <c r="L14" i="10"/>
  <c r="N7" i="10"/>
  <c r="F2" i="1" s="1"/>
  <c r="H9" i="8"/>
  <c r="L19" i="10"/>
  <c r="L20" i="10" s="1"/>
  <c r="K22" i="10"/>
  <c r="K23" i="10" s="1"/>
  <c r="N23" i="10" s="1"/>
  <c r="K6" i="5" s="1"/>
  <c r="L10" i="10"/>
  <c r="N17" i="10"/>
  <c r="H1" i="1" s="1"/>
  <c r="K20" i="10"/>
  <c r="L5" i="10"/>
  <c r="L4" i="10"/>
  <c r="K5" i="10"/>
  <c r="K4" i="10"/>
  <c r="K3" i="10"/>
  <c r="L3" i="10"/>
  <c r="L6" i="10" s="1"/>
  <c r="E24" i="10"/>
  <c r="D24" i="10"/>
  <c r="E22" i="10"/>
  <c r="D22" i="10"/>
  <c r="E20" i="10"/>
  <c r="D20" i="10"/>
  <c r="K6" i="10" l="1"/>
  <c r="K2" i="5"/>
  <c r="E26" i="10"/>
  <c r="L24" i="10"/>
  <c r="D26" i="10"/>
  <c r="K24" i="10"/>
  <c r="H13" i="8"/>
  <c r="H11" i="8"/>
  <c r="N20" i="10"/>
  <c r="F5" i="1" s="1"/>
  <c r="K5" i="5"/>
  <c r="F6" i="1"/>
  <c r="M1" i="5"/>
  <c r="D4" i="5"/>
  <c r="D6" i="5"/>
  <c r="D5" i="5"/>
  <c r="N3" i="10"/>
  <c r="D14" i="10"/>
  <c r="E14" i="10"/>
  <c r="E17" i="10"/>
  <c r="D17" i="10"/>
  <c r="E16" i="10"/>
  <c r="D16" i="10"/>
  <c r="E9" i="10"/>
  <c r="E11" i="10" s="1"/>
  <c r="D9" i="10"/>
  <c r="D11" i="10" s="1"/>
  <c r="E5" i="10"/>
  <c r="L31" i="10" s="1"/>
  <c r="D5" i="10"/>
  <c r="E3" i="10"/>
  <c r="D3" i="10"/>
  <c r="I11" i="9"/>
  <c r="J11" i="9" s="1"/>
  <c r="R9" i="9"/>
  <c r="J7" i="9"/>
  <c r="L9" i="9"/>
  <c r="N5" i="9"/>
  <c r="J55" i="5"/>
  <c r="C23" i="6" s="1"/>
  <c r="C22" i="6"/>
  <c r="F5" i="8"/>
  <c r="D14" i="8"/>
  <c r="G5" i="8"/>
  <c r="C14" i="8"/>
  <c r="H4" i="8"/>
  <c r="D2" i="8"/>
  <c r="R9" i="7"/>
  <c r="F21" i="6"/>
  <c r="F18" i="6"/>
  <c r="F15" i="6"/>
  <c r="F12" i="6"/>
  <c r="F6" i="6"/>
  <c r="G45" i="5"/>
  <c r="G44" i="5"/>
  <c r="G43" i="5"/>
  <c r="G42" i="5"/>
  <c r="G38" i="5"/>
  <c r="G24" i="5"/>
  <c r="G23" i="5"/>
  <c r="G22" i="5"/>
  <c r="C2" i="5"/>
  <c r="D2" i="5"/>
  <c r="C19" i="6"/>
  <c r="C2" i="6"/>
  <c r="C16" i="6"/>
  <c r="J40" i="5"/>
  <c r="C20" i="6" s="1"/>
  <c r="J37" i="5"/>
  <c r="C17" i="6" s="1"/>
  <c r="J17" i="5"/>
  <c r="C11" i="6" s="1"/>
  <c r="K29" i="10" l="1"/>
  <c r="K30" i="10" s="1"/>
  <c r="D6" i="10"/>
  <c r="D7" i="10" s="1"/>
  <c r="F25" i="6"/>
  <c r="F26" i="6"/>
  <c r="K31" i="10"/>
  <c r="E6" i="10"/>
  <c r="E7" i="10" s="1"/>
  <c r="L29" i="10"/>
  <c r="L30" i="10" s="1"/>
  <c r="D13" i="10"/>
  <c r="D18" i="10"/>
  <c r="L25" i="10"/>
  <c r="E13" i="10"/>
  <c r="L8" i="10"/>
  <c r="C24" i="6"/>
  <c r="H5" i="8"/>
  <c r="H14" i="8" s="1"/>
  <c r="D27" i="10"/>
  <c r="K25" i="10"/>
  <c r="K4" i="5"/>
  <c r="E18" i="10"/>
  <c r="K8" i="10"/>
  <c r="K10" i="10" s="1"/>
  <c r="N10" i="10" s="1"/>
  <c r="E27" i="10"/>
  <c r="N6" i="10"/>
  <c r="G3" i="10"/>
  <c r="E4" i="10"/>
  <c r="C21" i="6"/>
  <c r="C18" i="6"/>
  <c r="N5" i="7"/>
  <c r="G19" i="5"/>
  <c r="G18" i="5"/>
  <c r="E18" i="1"/>
  <c r="J21" i="5"/>
  <c r="C14" i="6" s="1"/>
  <c r="J7" i="5"/>
  <c r="C5" i="6" s="1"/>
  <c r="E7" i="1"/>
  <c r="C3" i="1"/>
  <c r="D4" i="10"/>
  <c r="K38" i="5" l="1"/>
  <c r="F20" i="1"/>
  <c r="K39" i="5"/>
  <c r="C27" i="6"/>
  <c r="N31" i="10"/>
  <c r="M32" i="10" s="1"/>
  <c r="N30" i="10"/>
  <c r="D17" i="12"/>
  <c r="D42" i="5"/>
  <c r="D23" i="12"/>
  <c r="E19" i="10"/>
  <c r="E25" i="10" s="1"/>
  <c r="E10" i="10"/>
  <c r="E29" i="10" s="1"/>
  <c r="E30" i="10" s="1"/>
  <c r="E12" i="10"/>
  <c r="D10" i="10"/>
  <c r="D29" i="10" s="1"/>
  <c r="D30" i="10" s="1"/>
  <c r="K11" i="10"/>
  <c r="K12" i="10"/>
  <c r="K14" i="10" s="1"/>
  <c r="D19" i="10"/>
  <c r="D12" i="10"/>
  <c r="G13" i="10"/>
  <c r="N25" i="10"/>
  <c r="F19" i="1" s="1"/>
  <c r="F1" i="1"/>
  <c r="D32" i="5"/>
  <c r="C13" i="6"/>
  <c r="D18" i="1"/>
  <c r="C4" i="6"/>
  <c r="C6" i="6" s="1"/>
  <c r="D7" i="1"/>
  <c r="G27" i="10"/>
  <c r="N8" i="10"/>
  <c r="D21" i="10"/>
  <c r="D28" i="10" s="1"/>
  <c r="D39" i="5"/>
  <c r="D38" i="5"/>
  <c r="K1" i="5"/>
  <c r="D12" i="5" s="1"/>
  <c r="E21" i="10"/>
  <c r="E28" i="10" s="1"/>
  <c r="G4" i="10"/>
  <c r="G7" i="10"/>
  <c r="D12" i="6" s="1"/>
  <c r="G18" i="10"/>
  <c r="E6" i="6"/>
  <c r="F7" i="1"/>
  <c r="K37" i="5" l="1"/>
  <c r="D18" i="6"/>
  <c r="K32" i="10"/>
  <c r="D8" i="5"/>
  <c r="L32" i="10"/>
  <c r="K18" i="5"/>
  <c r="D12" i="12"/>
  <c r="D5" i="12"/>
  <c r="D23" i="5"/>
  <c r="D8" i="12"/>
  <c r="D7" i="12"/>
  <c r="G30" i="10"/>
  <c r="E23" i="10"/>
  <c r="D23" i="10"/>
  <c r="G28" i="10"/>
  <c r="D22" i="5"/>
  <c r="C15" i="6"/>
  <c r="K17" i="5"/>
  <c r="F15" i="1"/>
  <c r="D27" i="5"/>
  <c r="F16" i="1"/>
  <c r="D20" i="5"/>
  <c r="N11" i="10"/>
  <c r="N12" i="10"/>
  <c r="K19" i="5"/>
  <c r="G21" i="10"/>
  <c r="D13" i="5"/>
  <c r="D9" i="5"/>
  <c r="D11" i="5"/>
  <c r="D18" i="5"/>
  <c r="D10" i="5"/>
  <c r="G19" i="10"/>
  <c r="D25" i="10"/>
  <c r="G25" i="10" s="1"/>
  <c r="G12" i="10"/>
  <c r="D19" i="5"/>
  <c r="K7" i="5"/>
  <c r="D6" i="6" s="1"/>
  <c r="E15" i="1"/>
  <c r="D15" i="1" s="1"/>
  <c r="N32" i="10" l="1"/>
  <c r="D44" i="5"/>
  <c r="D25" i="12"/>
  <c r="D43" i="5"/>
  <c r="D24" i="12"/>
  <c r="D28" i="5"/>
  <c r="D13" i="12"/>
  <c r="D25" i="5"/>
  <c r="D10" i="12"/>
  <c r="D30" i="5"/>
  <c r="D15" i="12"/>
  <c r="D24" i="5"/>
  <c r="D9" i="12"/>
  <c r="G23" i="10"/>
  <c r="N14" i="10"/>
  <c r="K16" i="10"/>
  <c r="N16" i="10" s="1"/>
  <c r="K40" i="5"/>
  <c r="D21" i="6" s="1"/>
  <c r="C10" i="6"/>
  <c r="C26" i="6" s="1"/>
  <c r="K8" i="5" l="1"/>
  <c r="D9" i="6"/>
  <c r="F8" i="1"/>
  <c r="D45" i="5"/>
  <c r="D26" i="12"/>
  <c r="D26" i="5"/>
  <c r="D11" i="12"/>
  <c r="C12" i="6"/>
  <c r="C25" i="6" s="1"/>
  <c r="K20" i="5"/>
  <c r="K21" i="5" s="1"/>
  <c r="G31" i="10" s="1"/>
  <c r="D15" i="6" s="1"/>
  <c r="F17" i="1"/>
  <c r="F18" i="1" s="1"/>
  <c r="G1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D7" authorId="0" shapeId="0" xr:uid="{1D848786-2DAB-47CD-B100-24F83115ADC8}">
      <text>
        <r>
          <rPr>
            <sz val="9"/>
            <color indexed="81"/>
            <rFont val="Tahoma"/>
            <family val="2"/>
          </rPr>
          <t xml:space="preserve">
Anche se corti o di lunghezza differente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D7" authorId="0" shapeId="0" xr:uid="{91ADC0C4-96AF-4341-A0A0-6B6B2CBE0B55}">
      <text>
        <r>
          <rPr>
            <sz val="9"/>
            <color indexed="81"/>
            <rFont val="Tahoma"/>
            <family val="2"/>
          </rPr>
          <t xml:space="preserve">
Anche se corti o di lunghezza differente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B8" authorId="0" shapeId="0" xr:uid="{0036B2E9-0430-4708-B5A0-B7FA46D946A1}">
      <text>
        <r>
          <rPr>
            <sz val="9"/>
            <color indexed="81"/>
            <rFont val="Tahoma"/>
            <family val="2"/>
          </rPr>
          <t xml:space="preserve">In presenza di terreni di collina con pendenza superiore al 15% non son ammissibili spese per lo scasso
</t>
        </r>
      </text>
    </comment>
    <comment ref="C25" authorId="0" shapeId="0" xr:uid="{247AEDA0-2A8D-4A55-9FA2-DC207E927696}">
      <text>
        <r>
          <rPr>
            <sz val="12"/>
            <color indexed="81"/>
            <rFont val="Tahoma"/>
            <family val="2"/>
          </rPr>
          <t xml:space="preserve">
Metri</t>
        </r>
      </text>
    </comment>
    <comment ref="C26" authorId="0" shapeId="0" xr:uid="{FC1F4C10-ADC1-4FC2-AC53-883F6362D458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metri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D3" authorId="0" shapeId="0" xr:uid="{F69816D6-FFDB-4131-98C9-8DC2F994BD41}">
      <text>
        <r>
          <rPr>
            <sz val="9"/>
            <color indexed="81"/>
            <rFont val="Tahoma"/>
            <family val="2"/>
          </rPr>
          <t xml:space="preserve">Importo solo indicativo che non tiene conto dei costi connessi all'utilizzo del mezzo proprio
</t>
        </r>
      </text>
    </comment>
    <comment ref="B8" authorId="0" shapeId="0" xr:uid="{81C45510-8044-4F6E-B491-FAD8AA48AE5D}">
      <text>
        <r>
          <rPr>
            <sz val="9"/>
            <color indexed="81"/>
            <rFont val="Tahoma"/>
            <family val="2"/>
          </rPr>
          <t xml:space="preserve">In presenza di terreni di collina con pendenza superiore al 15% non son ammissibili spese per lo scasso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F1" authorId="0" shapeId="0" xr:uid="{3A0F855C-C0C1-4CDC-8559-B7E96BB0B525}">
      <text>
        <r>
          <rPr>
            <b/>
            <sz val="12"/>
            <color indexed="81"/>
            <rFont val="Arial Narrow"/>
            <family val="2"/>
          </rPr>
          <t>Numero fogli Descrizione compilati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Marini Andrea</author>
  </authors>
  <commentList>
    <comment ref="C10" authorId="0" shapeId="0" xr:uid="{3108E8F9-BEB5-4168-A3F9-77191E457CB7}">
      <text>
        <r>
          <rPr>
            <sz val="12"/>
            <color indexed="81"/>
            <rFont val="Tahoma"/>
            <family val="2"/>
          </rPr>
          <t xml:space="preserve">
Metri</t>
        </r>
      </text>
    </comment>
    <comment ref="F10" authorId="0" shapeId="0" xr:uid="{CEED35A4-D7AE-4B55-B22A-214E3F26F1F4}">
      <text>
        <r>
          <rPr>
            <b/>
            <sz val="9"/>
            <color indexed="81"/>
            <rFont val="Tahoma"/>
            <family val="2"/>
          </rPr>
          <t>Marini Andrea:</t>
        </r>
        <r>
          <rPr>
            <sz val="9"/>
            <color indexed="81"/>
            <rFont val="Tahoma"/>
            <family val="2"/>
          </rPr>
          <t xml:space="preserve">
metri</t>
        </r>
      </text>
    </comment>
    <comment ref="C11" authorId="0" shapeId="0" xr:uid="{6F3A347A-E2F3-4F8C-862D-23FC5CD0B68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metri</t>
        </r>
      </text>
    </comment>
    <comment ref="F11" authorId="0" shapeId="0" xr:uid="{4C423A28-8D11-4AE0-A882-45592C466AFE}">
      <text>
        <r>
          <rPr>
            <b/>
            <sz val="9"/>
            <color indexed="81"/>
            <rFont val="Tahoma"/>
            <family val="2"/>
          </rPr>
          <t>Marini Andrea:</t>
        </r>
        <r>
          <rPr>
            <sz val="9"/>
            <color indexed="81"/>
            <rFont val="Tahoma"/>
            <family val="2"/>
          </rPr>
          <t xml:space="preserve">
metri</t>
        </r>
      </text>
    </comment>
    <comment ref="F13" authorId="0" shapeId="0" xr:uid="{8C8D91CA-6CF2-4259-A5C2-CBC4BE3726C8}">
      <text>
        <r>
          <rPr>
            <b/>
            <sz val="9"/>
            <color indexed="81"/>
            <rFont val="Tahoma"/>
            <family val="2"/>
          </rPr>
          <t>Marini Andrea:</t>
        </r>
        <r>
          <rPr>
            <sz val="9"/>
            <color indexed="81"/>
            <rFont val="Tahoma"/>
            <family val="2"/>
          </rPr>
          <t xml:space="preserve">
metri</t>
        </r>
      </text>
    </comment>
  </commentList>
</comments>
</file>

<file path=xl/sharedStrings.xml><?xml version="1.0" encoding="utf-8"?>
<sst xmlns="http://schemas.openxmlformats.org/spreadsheetml/2006/main" count="683" uniqueCount="278">
  <si>
    <t>-</t>
  </si>
  <si>
    <t>Domanda n.</t>
  </si>
  <si>
    <t>Vitigno</t>
  </si>
  <si>
    <t>SI</t>
  </si>
  <si>
    <t>GDC</t>
  </si>
  <si>
    <t>CASARSA</t>
  </si>
  <si>
    <t>pianura e collina &lt; 5%</t>
  </si>
  <si>
    <t>manuale</t>
  </si>
  <si>
    <t>Superficie vigneto (ha)</t>
  </si>
  <si>
    <t>Pendenza</t>
  </si>
  <si>
    <t>NO</t>
  </si>
  <si>
    <t>collina da 5% a 15%</t>
  </si>
  <si>
    <t>meccanica</t>
  </si>
  <si>
    <t>Superficie estirpo (ha)</t>
  </si>
  <si>
    <t>Superficie irriguo (ha)</t>
  </si>
  <si>
    <t>GUYOT</t>
  </si>
  <si>
    <t>ALTRO</t>
  </si>
  <si>
    <t>collina &gt;15%</t>
  </si>
  <si>
    <t>Forma di allevamento (*)</t>
  </si>
  <si>
    <t>Numero fili (**)</t>
  </si>
  <si>
    <t>CORDONE SPERONATO</t>
  </si>
  <si>
    <t>Sesto tra le file (m)</t>
  </si>
  <si>
    <t>Sesto sulla fila (m)</t>
  </si>
  <si>
    <t>N. Piante</t>
  </si>
  <si>
    <t>CORDONE LIBERO</t>
  </si>
  <si>
    <t>Distanza fra i pali (m)</t>
  </si>
  <si>
    <t>Filari n.</t>
  </si>
  <si>
    <t>Posa barbatelle</t>
  </si>
  <si>
    <t>SYLVOZ</t>
  </si>
  <si>
    <t>Passo degli erogatori (m)</t>
  </si>
  <si>
    <t>Forma di allevamento da estirpare</t>
  </si>
  <si>
    <t>Tipo impianto irriguo</t>
  </si>
  <si>
    <t>IRRIGUO</t>
  </si>
  <si>
    <t>Se IRRIGUO posizione Ala Gocciolante</t>
  </si>
  <si>
    <t>A TERRA</t>
  </si>
  <si>
    <t>_</t>
  </si>
  <si>
    <t>Superficie sovrainnesto (ha)</t>
  </si>
  <si>
    <t>Sesto tra le file (m) vigneto da sovrainnestare</t>
  </si>
  <si>
    <t>Sesto sulla file (m) vigneto da sovrainnestare</t>
  </si>
  <si>
    <t>SUBIRRIGUO</t>
  </si>
  <si>
    <t xml:space="preserve">(*)   se non in elenco indicare ALTRO e specificare </t>
  </si>
  <si>
    <t>(**) per GDC indicare 2</t>
  </si>
  <si>
    <t>LEGATA</t>
  </si>
  <si>
    <t>Il Beneficiario ____________________________________________</t>
  </si>
  <si>
    <t>LEGATA CON MONTAGGIO IRRIGATORI</t>
  </si>
  <si>
    <t>Passo degli erogatori (ma)</t>
  </si>
  <si>
    <t>(*) se non in elenco indicare ALTRO e specificare:</t>
  </si>
  <si>
    <t>RENDICONTAZIONE COSTI FATTURATI Ristrutturazione e Riconversione Vigneti Campagna 2022/2023</t>
  </si>
  <si>
    <t>SUPERFICIE RENDICONTATA VIGNETO HA</t>
  </si>
  <si>
    <t>ESTIRPO</t>
  </si>
  <si>
    <t xml:space="preserve">DOMANDA N. </t>
  </si>
  <si>
    <t>SPAZIO PER SETTORE</t>
  </si>
  <si>
    <t>DECRIZIONE LAVORI FATTURATI</t>
  </si>
  <si>
    <t>unita di misura</t>
  </si>
  <si>
    <t>quantitativo da domanda di pagamento</t>
  </si>
  <si>
    <t xml:space="preserve">quantitativo indicato in fattura </t>
  </si>
  <si>
    <t>Unita di misura</t>
  </si>
  <si>
    <t>fattura/e , ditta/e numero e data</t>
  </si>
  <si>
    <t>IMPORTO RENDICONTATO</t>
  </si>
  <si>
    <t>Ammesso</t>
  </si>
  <si>
    <t>NOTE</t>
  </si>
  <si>
    <t>ESTIRPAZIONE</t>
  </si>
  <si>
    <t>Spese estirpazione vigneto</t>
  </si>
  <si>
    <t>ha</t>
  </si>
  <si>
    <t>Raccolta e trasporto ceppi radici e altri residui vegetali</t>
  </si>
  <si>
    <t>Smaltimento palificazione (*)</t>
  </si>
  <si>
    <t>TOTALE</t>
  </si>
  <si>
    <t>PREPARAZIONE DEL TERRENO</t>
  </si>
  <si>
    <t>rippatura</t>
  </si>
  <si>
    <t xml:space="preserve">ha </t>
  </si>
  <si>
    <t>sistemazione</t>
  </si>
  <si>
    <t>ripuntatura</t>
  </si>
  <si>
    <t>aratura leggera</t>
  </si>
  <si>
    <t>concimazione d'impianto</t>
  </si>
  <si>
    <t xml:space="preserve">concime </t>
  </si>
  <si>
    <t>Kg</t>
  </si>
  <si>
    <t>MESSA A DIMORA DI VIGNETO</t>
  </si>
  <si>
    <t>acquisto barbatelle</t>
  </si>
  <si>
    <t>n.</t>
  </si>
  <si>
    <t>messa a dimora barbatelle</t>
  </si>
  <si>
    <t>STRUTTURA DI SOSTEGNO PER VIGNETO</t>
  </si>
  <si>
    <t>Ancore</t>
  </si>
  <si>
    <t>Pali di testata</t>
  </si>
  <si>
    <t>Pali di mezzeria</t>
  </si>
  <si>
    <t>Filo Portante (escluso GDC)</t>
  </si>
  <si>
    <t>m</t>
  </si>
  <si>
    <t>Filo di Guida (escluso GDC)</t>
  </si>
  <si>
    <t>Tutori</t>
  </si>
  <si>
    <t>Filo  Portante (solo GDC)</t>
  </si>
  <si>
    <t>Aprifilo per GDC inseribile inox</t>
  </si>
  <si>
    <t>Braccetti per GDC</t>
  </si>
  <si>
    <t>Divaricatori per pettinatura semiautomatica</t>
  </si>
  <si>
    <t>messa in opera struttura di sostegno</t>
  </si>
  <si>
    <t>Altro materiale (minuteria e altro come descritto in fattura e non precedentemente specificato)</t>
  </si>
  <si>
    <t>SOVRAINNESTO</t>
  </si>
  <si>
    <t>Acquisto marze 2 a ceppo</t>
  </si>
  <si>
    <t>Predisposizione impianto e innesto marze</t>
  </si>
  <si>
    <t>DESCRIZIONE LAVORI FATTURATI</t>
  </si>
  <si>
    <t>fattura/e,  ditta/e numero e data</t>
  </si>
  <si>
    <t>IMPIANTO IRRIGUO/SUBIRRIGUO (materiali ed opere rendicontabili interne al poligono del vigneto)</t>
  </si>
  <si>
    <t>Tubo Collettore di testata</t>
  </si>
  <si>
    <t>Vedi fatture e singole voci prezzario</t>
  </si>
  <si>
    <t>Ala Gocciolante</t>
  </si>
  <si>
    <t>Tubo per distribuzione lungo fila</t>
  </si>
  <si>
    <t>Erogatore</t>
  </si>
  <si>
    <t>cad</t>
  </si>
  <si>
    <t>messa in opera di tubo collettore di testata (**)</t>
  </si>
  <si>
    <t>messa in opera di ala gocciolante (**)</t>
  </si>
  <si>
    <t xml:space="preserve"> </t>
  </si>
  <si>
    <t>messa in opera di tubo di distribuzione lungo la fila (**)</t>
  </si>
  <si>
    <t>messa in opera di erogatori (**)</t>
  </si>
  <si>
    <t>Altro materiale (minuteria, raccordi non precedentemente specificato)</t>
  </si>
  <si>
    <t xml:space="preserve">(*)    CON RICEVUTA DISCARICA                                                                                                                                                                                                                                            </t>
  </si>
  <si>
    <t>Ragione Sociale</t>
  </si>
  <si>
    <t>APPEZZAMENTI COMPILATI</t>
  </si>
  <si>
    <t>IMPORTO ORARIO EURO 15,50</t>
  </si>
  <si>
    <t>DECRIZIONE LAVORI IN ECONOMIA EFFETTUATI</t>
  </si>
  <si>
    <t>MEZZO/PERSONALE UTILIZZATO</t>
  </si>
  <si>
    <t>ORE  EQUIVALENTI</t>
  </si>
  <si>
    <t xml:space="preserve"> AMMESSO</t>
  </si>
  <si>
    <t>AMMESSO</t>
  </si>
  <si>
    <t>IMPIANTO IRRIGUO/SUBIRRIGUO</t>
  </si>
  <si>
    <t>messa in opera di tubo collettore di testata (*)</t>
  </si>
  <si>
    <t>messa in opera di ala gocciolante (*)</t>
  </si>
  <si>
    <t>messa in opera di tubo di distribuzione lungo la fila (*)</t>
  </si>
  <si>
    <t>messa in opera di erogatori (*)</t>
  </si>
  <si>
    <t>messa in opera di</t>
  </si>
  <si>
    <t>Per i lavori sopra indicati sono stati impiegati n.</t>
  </si>
  <si>
    <t>affetti dell'impresa agricola (titolari, familiari, dipendenti)</t>
  </si>
  <si>
    <t>e i seguenti macchinari ed attrezzature, in coerenza con la dichiarazione resa ai fini UMA:</t>
  </si>
  <si>
    <t>CUAA</t>
  </si>
  <si>
    <t>Numero d'ordine</t>
  </si>
  <si>
    <t>in proprietà / prestito da (CUAA)</t>
  </si>
  <si>
    <t>DESCRIZIONE LAVORI  EFFETTUATI</t>
  </si>
  <si>
    <t>Importo ammesso da singole voci</t>
  </si>
  <si>
    <t>Importo ammesso  finale</t>
  </si>
  <si>
    <t>Note</t>
  </si>
  <si>
    <t>Spese in economia</t>
  </si>
  <si>
    <t>Spese fatturata</t>
  </si>
  <si>
    <t>Spesa fatturata</t>
  </si>
  <si>
    <t>Spesa in economia</t>
  </si>
  <si>
    <t xml:space="preserve">Spesa in economia </t>
  </si>
  <si>
    <t>TOTALE SPESA</t>
  </si>
  <si>
    <t>Totale generale</t>
  </si>
  <si>
    <t>SPESA IN ECONOMIA</t>
  </si>
  <si>
    <t>SPESA FATTURATA</t>
  </si>
  <si>
    <t xml:space="preserve">Domanda n. </t>
  </si>
  <si>
    <t xml:space="preserve">N. </t>
  </si>
  <si>
    <t xml:space="preserve">Superficie </t>
  </si>
  <si>
    <t>Filari</t>
  </si>
  <si>
    <t>Distanza fra le file</t>
  </si>
  <si>
    <t>Distanza sulla fila</t>
  </si>
  <si>
    <t>piante</t>
  </si>
  <si>
    <t xml:space="preserve">TOTALE DA INSERIRE </t>
  </si>
  <si>
    <t xml:space="preserve">SCHEDA </t>
  </si>
  <si>
    <t>Tipologia spesa</t>
  </si>
  <si>
    <t>Descrizione</t>
  </si>
  <si>
    <t>Descrizione2C</t>
  </si>
  <si>
    <t>Descrizione3C</t>
  </si>
  <si>
    <t>Totale</t>
  </si>
  <si>
    <t>SCHEDA</t>
  </si>
  <si>
    <t>FATTURATE</t>
  </si>
  <si>
    <t>ECONOMIA</t>
  </si>
  <si>
    <t>Superficie Vigneto</t>
  </si>
  <si>
    <t xml:space="preserve">ECONOMIA </t>
  </si>
  <si>
    <t>Superficie sovrainnesto</t>
  </si>
  <si>
    <t>Numero Piante</t>
  </si>
  <si>
    <t>distanza tra la fila sovrainnesto</t>
  </si>
  <si>
    <t>massimale ettaro</t>
  </si>
  <si>
    <t>numero piante da sovrainnestare</t>
  </si>
  <si>
    <t>massimale totale</t>
  </si>
  <si>
    <t>Superficie irriguo</t>
  </si>
  <si>
    <t>Messa a dimora barbatelle</t>
  </si>
  <si>
    <t>valori unitari</t>
  </si>
  <si>
    <t>Tubo collettore di testata (se presente irriguo)</t>
  </si>
  <si>
    <t>Posa</t>
  </si>
  <si>
    <t>Tubo collettore di testata (se assente irriguo)</t>
  </si>
  <si>
    <t>Piante ad ettaro</t>
  </si>
  <si>
    <t>Tubo collettore di mandata reale</t>
  </si>
  <si>
    <t>Importo unitario messa a dimora</t>
  </si>
  <si>
    <t>Importo Finale messa a dimora</t>
  </si>
  <si>
    <t>Tubo distribuzione lungo la fila</t>
  </si>
  <si>
    <t>Passo degli Erogatori</t>
  </si>
  <si>
    <t xml:space="preserve">Numero file </t>
  </si>
  <si>
    <t>Numero erogatori se presente irriguo</t>
  </si>
  <si>
    <t>Numero Pali</t>
  </si>
  <si>
    <t>Numero erogatori (se assente irriguo)</t>
  </si>
  <si>
    <t>Distanza fra i pali</t>
  </si>
  <si>
    <t>Numero erogatori reali</t>
  </si>
  <si>
    <t>Superficie estirpazione</t>
  </si>
  <si>
    <t>Numero pali</t>
  </si>
  <si>
    <t>Numero pali di mezzeria</t>
  </si>
  <si>
    <t>Spese estirpazione unitarie teoriche</t>
  </si>
  <si>
    <t>Spese estirpazione con estirpo</t>
  </si>
  <si>
    <t>Lunghezza filo portante</t>
  </si>
  <si>
    <t>Numero fili</t>
  </si>
  <si>
    <t>Smaltimento palificazione TEORICO</t>
  </si>
  <si>
    <t>Fili di Guida</t>
  </si>
  <si>
    <t>Smaltimento palificazione con estirpo</t>
  </si>
  <si>
    <t>Sistema di allevamento</t>
  </si>
  <si>
    <t xml:space="preserve">  Valore messa unitario messa in opera sostegno</t>
  </si>
  <si>
    <t>Numero Braccietti per GDC</t>
  </si>
  <si>
    <t>Massimale economia messa in opera sostegno</t>
  </si>
  <si>
    <t>Importo unitario  messa in opera</t>
  </si>
  <si>
    <t>costo  orario mano d'opera</t>
  </si>
  <si>
    <t>Massimale per messa in opera</t>
  </si>
  <si>
    <t>Lunghezza filo portante per  GDC</t>
  </si>
  <si>
    <t>RIEPILOGO COSTI SOSTENUTI</t>
  </si>
  <si>
    <t>VALORE PER ETTARO messa a dimora e acquisto barbatelle</t>
  </si>
  <si>
    <t>VALORE REALE massimale messa a dimora e acquisto barbatelle</t>
  </si>
  <si>
    <t xml:space="preserve">Fattura 1 </t>
  </si>
  <si>
    <t>Fattura 2</t>
  </si>
  <si>
    <t>Fattura 3</t>
  </si>
  <si>
    <t>Fattura 4</t>
  </si>
  <si>
    <t>importo complessivo</t>
  </si>
  <si>
    <t>totale importo</t>
  </si>
  <si>
    <t>totale quantità</t>
  </si>
  <si>
    <t>materiale non rendicontato</t>
  </si>
  <si>
    <t>MATERIALE NON RENDICONTATO</t>
  </si>
  <si>
    <t>Totale fattura inserito</t>
  </si>
  <si>
    <t>Totale fattura reale</t>
  </si>
  <si>
    <t>Differenza</t>
  </si>
  <si>
    <t xml:space="preserve">QUANTITA'  </t>
  </si>
  <si>
    <t xml:space="preserve">QUANTITA' </t>
  </si>
  <si>
    <t>MASSIMALE DA PREZZARIO (comprensivo di Lavori in economia)</t>
  </si>
  <si>
    <t>voce di prezzario</t>
  </si>
  <si>
    <t>Massimale da prezzario comprensivo di messa in opera</t>
  </si>
  <si>
    <t>MASSIMALE DA PREZZARIO</t>
  </si>
  <si>
    <t>Voce di prezzario</t>
  </si>
  <si>
    <t xml:space="preserve">MASSIMALE DA PREZZARIO </t>
  </si>
  <si>
    <t>MASSIMALE DA PREZZARIO in assenza di fattura smaltimento pali</t>
  </si>
  <si>
    <r>
      <t xml:space="preserve">Totale lavori  </t>
    </r>
    <r>
      <rPr>
        <i/>
        <sz val="11"/>
        <color theme="1"/>
        <rFont val="Calibri"/>
        <family val="2"/>
        <scheme val="minor"/>
      </rPr>
      <t>(Preparazione del terreno, messa a dimora di vigneto, struttura di sostegno per vigneto, sovrainnesto)</t>
    </r>
  </si>
  <si>
    <t>Importo unitario</t>
  </si>
  <si>
    <t>VALORE REALE massimale messa a dimora e acquisto barbatelle VECCHIA VERSIONE</t>
  </si>
  <si>
    <t>scasso ad ettaro</t>
  </si>
  <si>
    <t>SCASSO FINALE</t>
  </si>
  <si>
    <t>Scasso</t>
  </si>
  <si>
    <t>Scasso in terreni di pianura, m 0,9  o collina con pendenza inferiore al 15%</t>
  </si>
  <si>
    <t>SCASSO totale senza sovrapprezzo</t>
  </si>
  <si>
    <t>Superficie totale ricalcolata</t>
  </si>
  <si>
    <t>PREPARAZIONE DEL TERRENO Scasso in terreni di pianura, m 0,9  o collina con pendenza inferiore al 15%</t>
  </si>
  <si>
    <t>Preparazione del terreno - Scasso</t>
  </si>
  <si>
    <t>Verifica della rendicontazione effetiva di tutte le spese sostenute dal beneficiario - Fatture relative ai materiali utilizzati</t>
  </si>
  <si>
    <t>DESCRIZIONE INTERVENTI REALIZZATI  (primo o unico appezzamento)</t>
  </si>
  <si>
    <t>DESCRIZIONE INTERVENTI REALIZZATI (secondo appezzamento)</t>
  </si>
  <si>
    <t>DESCRIZIONE INTERVENTI REALIZZATI (terzo appezzamento)</t>
  </si>
  <si>
    <t>SUPERFICIE RENDICONTATA PER IRRIGU0/SUB IRRIGUO HA</t>
  </si>
  <si>
    <t>SUPERFICIE RENDICONTATA PER IRRIGUO/SUB IRRIGUO HA</t>
  </si>
  <si>
    <t>squadro e picchettatura</t>
  </si>
  <si>
    <t xml:space="preserve">TOTALE </t>
  </si>
  <si>
    <t xml:space="preserve">(*) la spesa in economia, PER L'IMPIANTO IRRIGUO/SUB IRRIGUO, aggiunta alla spesa fattturata per i materiali, non può superare l'importo previsto dal prezzario per quella voce di spesa                               </t>
  </si>
  <si>
    <t>DESCRIZIONE LAVORI IN ECONOMIA EFFETTUATI</t>
  </si>
  <si>
    <t>RENDICONTAZIONE COSTI FATTURATI - Ristrutturazione e Riconversione Vigneti                      Campagna 2022/2023</t>
  </si>
  <si>
    <t>RENDICONTAZIONE LAVORI IN ECONOMIA - Ristrutturazione e Riconversione Vigneti Campagna 2022/2023</t>
  </si>
  <si>
    <t>Quantità</t>
  </si>
  <si>
    <t>ditta/e fornitrice,  numero e data</t>
  </si>
  <si>
    <t>Compilare solo in presenza di diversi vitigni sullo stesso appezzamento, ma con lo stesso sesto di impianto,  sistema di allevamento e distanza fra i pali di sostegno</t>
  </si>
  <si>
    <t>TRATTORE 100CV</t>
  </si>
  <si>
    <t>TRATTORE  80 CV</t>
  </si>
  <si>
    <t>Trebbiano</t>
  </si>
  <si>
    <t>Data: _____________________</t>
  </si>
  <si>
    <t>Il Tecnico    _______________________________</t>
  </si>
  <si>
    <t>Prova di Stampa</t>
  </si>
  <si>
    <t>Fonte di approvvigionamento impianto irriguo</t>
  </si>
  <si>
    <t xml:space="preserve"> con tubazione sotterranea collegata alla fonte di approvvigionamento idrico </t>
  </si>
  <si>
    <t xml:space="preserve">senza tubazione sotterranea collegata alla fonte di approvvigionamento idrico </t>
  </si>
  <si>
    <t xml:space="preserve">con tubazione sotterranea collegata alla fonte di approvvigionamento idrico </t>
  </si>
  <si>
    <t>messa in opera di tubo collettore di testata (***)</t>
  </si>
  <si>
    <t xml:space="preserve">(***)  la spesa per la messa in opera,  PER L'IMPIANTO IRRIGUO/SUBIRRIGUO, aggiunta alla spesa per i materiali non può superare l'importo previsto dal prezzario per quella voce di spesa  </t>
  </si>
  <si>
    <t>(**)</t>
  </si>
  <si>
    <t>(**) anche in presenza di fatture con unità di misura Kg,  il quantitativo indicato in fattura dovrà essere riportartato in metri se la fattura presenta l'indicazione del rapporto Kg/metri</t>
  </si>
  <si>
    <t>messa in opera di ala gocciolante (***)</t>
  </si>
  <si>
    <t>messa in opera di tubo di distribuzione lungo la fila (***)</t>
  </si>
  <si>
    <t>messa in opera di erogatori (***)</t>
  </si>
  <si>
    <t>consorzio agraio</t>
  </si>
  <si>
    <t>oo</t>
  </si>
  <si>
    <t>AM_Ver_SR04_2023</t>
  </si>
  <si>
    <t>RIEPILOGO COSTI SOSTENUTI - Ristrutturazione e Riconversione Vigneti  Campagna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</si>
</sst>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_ ;\-#,##0.00\ "/>
    <numFmt numFmtId="166" formatCode="0.0000"/>
    <numFmt numFmtId="167" formatCode="&quot;€&quot;\ #,##0.00"/>
  </numFmts>
  <fonts count="5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8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0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indexed="81"/>
      <name val="Arial Narrow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941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/>
    <xf numFmtId="0" fontId="3" fillId="5" borderId="1" xfId="0" applyFont="1" applyFill="1" applyBorder="1"/>
    <xf numFmtId="2" fontId="1" fillId="5" borderId="10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0" fontId="3" fillId="5" borderId="8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vertical="center"/>
    </xf>
    <xf numFmtId="0" fontId="3" fillId="5" borderId="38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42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1" fillId="9" borderId="19" xfId="0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0" fontId="1" fillId="9" borderId="15" xfId="0" applyFont="1" applyFill="1" applyBorder="1" applyAlignment="1">
      <alignment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5" borderId="39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1" fillId="9" borderId="5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vertical="center"/>
    </xf>
    <xf numFmtId="0" fontId="0" fillId="5" borderId="0" xfId="0" applyFill="1"/>
    <xf numFmtId="0" fontId="0" fillId="0" borderId="1" xfId="0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10" borderId="1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vertical="center" wrapText="1"/>
      <protection locked="0"/>
    </xf>
    <xf numFmtId="0" fontId="3" fillId="10" borderId="5" xfId="0" applyFont="1" applyFill="1" applyBorder="1" applyAlignment="1" applyProtection="1">
      <alignment vertical="center" wrapText="1"/>
      <protection locked="0"/>
    </xf>
    <xf numFmtId="2" fontId="2" fillId="0" borderId="18" xfId="0" applyNumberFormat="1" applyFont="1" applyBorder="1" applyAlignment="1" applyProtection="1">
      <alignment horizontal="center" vertical="center" wrapText="1"/>
      <protection locked="0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165" fontId="2" fillId="10" borderId="3" xfId="0" applyNumberFormat="1" applyFont="1" applyFill="1" applyBorder="1" applyAlignment="1" applyProtection="1">
      <alignment horizontal="center" vertical="center"/>
      <protection locked="0"/>
    </xf>
    <xf numFmtId="4" fontId="15" fillId="10" borderId="24" xfId="0" applyNumberFormat="1" applyFont="1" applyFill="1" applyBorder="1" applyAlignment="1" applyProtection="1">
      <alignment horizontal="center" vertical="center"/>
      <protection locked="0"/>
    </xf>
    <xf numFmtId="4" fontId="8" fillId="10" borderId="24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164" fontId="1" fillId="11" borderId="35" xfId="0" applyNumberFormat="1" applyFont="1" applyFill="1" applyBorder="1" applyAlignment="1" applyProtection="1">
      <alignment vertical="center"/>
      <protection locked="0"/>
    </xf>
    <xf numFmtId="164" fontId="1" fillId="11" borderId="44" xfId="0" applyNumberFormat="1" applyFont="1" applyFill="1" applyBorder="1" applyAlignment="1" applyProtection="1">
      <alignment vertical="center"/>
      <protection locked="0"/>
    </xf>
    <xf numFmtId="164" fontId="1" fillId="11" borderId="45" xfId="0" applyNumberFormat="1" applyFont="1" applyFill="1" applyBorder="1" applyAlignment="1" applyProtection="1">
      <alignment vertical="center"/>
      <protection locked="0"/>
    </xf>
    <xf numFmtId="164" fontId="1" fillId="11" borderId="36" xfId="0" applyNumberFormat="1" applyFont="1" applyFill="1" applyBorder="1" applyAlignment="1" applyProtection="1">
      <alignment vertical="center"/>
      <protection locked="0"/>
    </xf>
    <xf numFmtId="0" fontId="1" fillId="11" borderId="11" xfId="0" applyFont="1" applyFill="1" applyBorder="1" applyAlignment="1" applyProtection="1">
      <alignment vertical="center"/>
      <protection locked="0"/>
    </xf>
    <xf numFmtId="0" fontId="1" fillId="11" borderId="28" xfId="0" applyFont="1" applyFill="1" applyBorder="1" applyAlignment="1" applyProtection="1">
      <alignment vertical="center"/>
      <protection locked="0"/>
    </xf>
    <xf numFmtId="0" fontId="1" fillId="11" borderId="13" xfId="0" applyFont="1" applyFill="1" applyBorder="1" applyAlignment="1" applyProtection="1">
      <alignment vertical="center"/>
      <protection locked="0"/>
    </xf>
    <xf numFmtId="0" fontId="1" fillId="11" borderId="16" xfId="0" applyFont="1" applyFill="1" applyBorder="1" applyAlignment="1" applyProtection="1">
      <alignment vertical="center"/>
      <protection locked="0"/>
    </xf>
    <xf numFmtId="0" fontId="1" fillId="11" borderId="34" xfId="0" applyFont="1" applyFill="1" applyBorder="1" applyAlignment="1" applyProtection="1">
      <alignment vertical="center"/>
      <protection locked="0"/>
    </xf>
    <xf numFmtId="0" fontId="1" fillId="11" borderId="27" xfId="0" applyFont="1" applyFill="1" applyBorder="1" applyAlignment="1" applyProtection="1">
      <alignment vertical="center"/>
      <protection locked="0"/>
    </xf>
    <xf numFmtId="0" fontId="1" fillId="11" borderId="4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2" fillId="10" borderId="18" xfId="0" applyNumberFormat="1" applyFont="1" applyFill="1" applyBorder="1" applyAlignment="1" applyProtection="1">
      <alignment horizontal="center" vertical="center"/>
      <protection locked="0"/>
    </xf>
    <xf numFmtId="165" fontId="2" fillId="1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8" fillId="2" borderId="1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8" fillId="2" borderId="5" xfId="0" applyNumberFormat="1" applyFont="1" applyFill="1" applyBorder="1" applyAlignment="1">
      <alignment horizontal="center" vertical="center"/>
    </xf>
    <xf numFmtId="0" fontId="1" fillId="9" borderId="18" xfId="0" applyFont="1" applyFill="1" applyBorder="1" applyAlignment="1" applyProtection="1">
      <alignment horizontal="center" vertical="center"/>
      <protection locked="0"/>
    </xf>
    <xf numFmtId="0" fontId="1" fillId="9" borderId="3" xfId="0" applyFont="1" applyFill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vertical="center"/>
    </xf>
    <xf numFmtId="0" fontId="1" fillId="9" borderId="8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8" xfId="0" applyFont="1" applyFill="1" applyBorder="1" applyAlignment="1" applyProtection="1">
      <alignment vertical="center"/>
      <protection locked="0"/>
    </xf>
    <xf numFmtId="0" fontId="1" fillId="9" borderId="2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60" xfId="0" applyFont="1" applyFill="1" applyBorder="1" applyAlignment="1">
      <alignment vertical="center" wrapText="1"/>
    </xf>
    <xf numFmtId="0" fontId="21" fillId="3" borderId="59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9" borderId="3" xfId="0" applyFill="1" applyBorder="1" applyAlignment="1">
      <alignment vertical="center"/>
    </xf>
    <xf numFmtId="0" fontId="0" fillId="9" borderId="46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1" fillId="9" borderId="15" xfId="0" applyFont="1" applyFill="1" applyBorder="1" applyAlignment="1">
      <alignment horizontal="righ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66" fontId="27" fillId="4" borderId="18" xfId="0" applyNumberFormat="1" applyFont="1" applyFill="1" applyBorder="1" applyAlignment="1">
      <alignment horizontal="center" vertical="center"/>
    </xf>
    <xf numFmtId="166" fontId="27" fillId="4" borderId="3" xfId="0" applyNumberFormat="1" applyFont="1" applyFill="1" applyBorder="1" applyAlignment="1">
      <alignment horizontal="center" vertical="center"/>
    </xf>
    <xf numFmtId="166" fontId="27" fillId="4" borderId="2" xfId="0" applyNumberFormat="1" applyFont="1" applyFill="1" applyBorder="1" applyAlignment="1">
      <alignment horizontal="center" vertical="center"/>
    </xf>
    <xf numFmtId="0" fontId="1" fillId="11" borderId="61" xfId="0" applyFont="1" applyFill="1" applyBorder="1" applyAlignment="1" applyProtection="1">
      <alignment horizontal="center" vertical="center" wrapText="1"/>
      <protection locked="0"/>
    </xf>
    <xf numFmtId="0" fontId="1" fillId="11" borderId="23" xfId="0" applyFont="1" applyFill="1" applyBorder="1" applyAlignment="1" applyProtection="1">
      <alignment horizontal="center" vertical="center" wrapText="1"/>
      <protection locked="0"/>
    </xf>
    <xf numFmtId="0" fontId="1" fillId="11" borderId="62" xfId="0" applyFont="1" applyFill="1" applyBorder="1" applyAlignment="1" applyProtection="1">
      <alignment horizontal="center" vertical="center" wrapText="1"/>
      <protection locked="0"/>
    </xf>
    <xf numFmtId="0" fontId="1" fillId="11" borderId="63" xfId="0" applyFont="1" applyFill="1" applyBorder="1" applyAlignment="1" applyProtection="1">
      <alignment horizontal="center" vertical="center" wrapText="1"/>
      <protection locked="0"/>
    </xf>
    <xf numFmtId="166" fontId="27" fillId="4" borderId="10" xfId="0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vertical="center"/>
    </xf>
    <xf numFmtId="2" fontId="0" fillId="18" borderId="1" xfId="0" applyNumberFormat="1" applyFill="1" applyBorder="1" applyAlignment="1">
      <alignment vertical="center"/>
    </xf>
    <xf numFmtId="3" fontId="29" fillId="4" borderId="1" xfId="0" applyNumberFormat="1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166" fontId="0" fillId="13" borderId="1" xfId="0" applyNumberFormat="1" applyFill="1" applyBorder="1" applyAlignment="1">
      <alignment vertical="center"/>
    </xf>
    <xf numFmtId="3" fontId="0" fillId="13" borderId="1" xfId="0" applyNumberFormat="1" applyFill="1" applyBorder="1" applyAlignment="1">
      <alignment vertical="center"/>
    </xf>
    <xf numFmtId="2" fontId="0" fillId="13" borderId="1" xfId="0" applyNumberFormat="1" applyFill="1" applyBorder="1" applyAlignment="1">
      <alignment vertical="center"/>
    </xf>
    <xf numFmtId="1" fontId="0" fillId="13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2" fontId="0" fillId="9" borderId="1" xfId="0" applyNumberFormat="1" applyFill="1" applyBorder="1" applyAlignment="1">
      <alignment vertical="center"/>
    </xf>
    <xf numFmtId="0" fontId="0" fillId="9" borderId="1" xfId="0" applyFill="1" applyBorder="1"/>
    <xf numFmtId="166" fontId="29" fillId="4" borderId="1" xfId="0" applyNumberFormat="1" applyFont="1" applyFill="1" applyBorder="1" applyAlignment="1">
      <alignment horizontal="center" vertical="center"/>
    </xf>
    <xf numFmtId="4" fontId="16" fillId="2" borderId="18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6" fontId="0" fillId="6" borderId="1" xfId="0" applyNumberFormat="1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2" fontId="0" fillId="6" borderId="1" xfId="0" applyNumberFormat="1" applyFill="1" applyBorder="1" applyAlignment="1">
      <alignment vertical="center"/>
    </xf>
    <xf numFmtId="1" fontId="0" fillId="6" borderId="1" xfId="0" applyNumberFormat="1" applyFill="1" applyBorder="1" applyAlignment="1">
      <alignment vertical="center" wrapText="1"/>
    </xf>
    <xf numFmtId="1" fontId="0" fillId="6" borderId="0" xfId="0" applyNumberFormat="1" applyFill="1"/>
    <xf numFmtId="1" fontId="0" fillId="6" borderId="1" xfId="0" applyNumberFormat="1" applyFill="1" applyBorder="1" applyAlignment="1">
      <alignment vertical="center"/>
    </xf>
    <xf numFmtId="0" fontId="0" fillId="6" borderId="1" xfId="0" applyFill="1" applyBorder="1"/>
    <xf numFmtId="2" fontId="0" fillId="6" borderId="1" xfId="0" applyNumberFormat="1" applyFill="1" applyBorder="1"/>
    <xf numFmtId="2" fontId="0" fillId="9" borderId="1" xfId="0" applyNumberFormat="1" applyFill="1" applyBorder="1"/>
    <xf numFmtId="2" fontId="0" fillId="13" borderId="1" xfId="0" applyNumberFormat="1" applyFill="1" applyBorder="1"/>
    <xf numFmtId="1" fontId="0" fillId="6" borderId="1" xfId="0" applyNumberFormat="1" applyFill="1" applyBorder="1"/>
    <xf numFmtId="1" fontId="0" fillId="2" borderId="1" xfId="0" applyNumberFormat="1" applyFill="1" applyBorder="1"/>
    <xf numFmtId="0" fontId="0" fillId="7" borderId="5" xfId="0" applyFill="1" applyBorder="1" applyAlignment="1">
      <alignment horizontal="center" vertical="center"/>
    </xf>
    <xf numFmtId="0" fontId="0" fillId="4" borderId="30" xfId="0" applyFill="1" applyBorder="1"/>
    <xf numFmtId="166" fontId="0" fillId="6" borderId="10" xfId="0" applyNumberFormat="1" applyFill="1" applyBorder="1"/>
    <xf numFmtId="0" fontId="0" fillId="4" borderId="31" xfId="0" applyFill="1" applyBorder="1" applyAlignment="1">
      <alignment wrapText="1"/>
    </xf>
    <xf numFmtId="0" fontId="0" fillId="9" borderId="13" xfId="0" applyFill="1" applyBorder="1"/>
    <xf numFmtId="0" fontId="0" fillId="4" borderId="32" xfId="0" applyFill="1" applyBorder="1"/>
    <xf numFmtId="1" fontId="0" fillId="6" borderId="15" xfId="0" applyNumberFormat="1" applyFill="1" applyBorder="1"/>
    <xf numFmtId="1" fontId="0" fillId="2" borderId="16" xfId="0" applyNumberFormat="1" applyFill="1" applyBorder="1"/>
    <xf numFmtId="166" fontId="0" fillId="6" borderId="10" xfId="0" applyNumberFormat="1" applyFill="1" applyBorder="1" applyAlignment="1">
      <alignment vertical="center"/>
    </xf>
    <xf numFmtId="166" fontId="0" fillId="2" borderId="10" xfId="0" applyNumberFormat="1" applyFill="1" applyBorder="1" applyAlignment="1">
      <alignment vertical="center"/>
    </xf>
    <xf numFmtId="1" fontId="0" fillId="2" borderId="1" xfId="0" applyNumberFormat="1" applyFill="1" applyBorder="1" applyAlignment="1">
      <alignment vertical="center"/>
    </xf>
    <xf numFmtId="3" fontId="29" fillId="4" borderId="8" xfId="0" applyNumberFormat="1" applyFont="1" applyFill="1" applyBorder="1" applyAlignment="1">
      <alignment horizontal="center" vertical="center"/>
    </xf>
    <xf numFmtId="3" fontId="29" fillId="4" borderId="21" xfId="0" applyNumberFormat="1" applyFont="1" applyFill="1" applyBorder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 vertical="center"/>
    </xf>
    <xf numFmtId="3" fontId="29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" fontId="28" fillId="13" borderId="36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0" fillId="8" borderId="3" xfId="0" applyFill="1" applyBorder="1"/>
    <xf numFmtId="1" fontId="0" fillId="13" borderId="1" xfId="0" applyNumberFormat="1" applyFill="1" applyBorder="1"/>
    <xf numFmtId="0" fontId="0" fillId="9" borderId="3" xfId="0" applyFill="1" applyBorder="1"/>
    <xf numFmtId="0" fontId="0" fillId="4" borderId="58" xfId="0" applyFill="1" applyBorder="1" applyAlignment="1">
      <alignment vertical="center"/>
    </xf>
    <xf numFmtId="166" fontId="0" fillId="6" borderId="1" xfId="0" applyNumberFormat="1" applyFill="1" applyBorder="1"/>
    <xf numFmtId="0" fontId="0" fillId="4" borderId="0" xfId="0" applyFill="1" applyAlignment="1">
      <alignment wrapText="1"/>
    </xf>
    <xf numFmtId="4" fontId="0" fillId="6" borderId="1" xfId="0" applyNumberFormat="1" applyFill="1" applyBorder="1"/>
    <xf numFmtId="0" fontId="0" fillId="8" borderId="5" xfId="0" applyFill="1" applyBorder="1"/>
    <xf numFmtId="0" fontId="0" fillId="9" borderId="2" xfId="0" applyFill="1" applyBorder="1"/>
    <xf numFmtId="0" fontId="17" fillId="7" borderId="49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4" fontId="17" fillId="2" borderId="16" xfId="0" applyNumberFormat="1" applyFont="1" applyFill="1" applyBorder="1" applyAlignment="1">
      <alignment horizontal="center" vertical="center"/>
    </xf>
    <xf numFmtId="4" fontId="17" fillId="3" borderId="49" xfId="0" applyNumberFormat="1" applyFont="1" applyFill="1" applyBorder="1" applyAlignment="1">
      <alignment horizontal="center" vertical="center" wrapText="1"/>
    </xf>
    <xf numFmtId="4" fontId="17" fillId="2" borderId="34" xfId="0" applyNumberFormat="1" applyFont="1" applyFill="1" applyBorder="1" applyAlignment="1">
      <alignment horizontal="center" vertical="center" wrapText="1"/>
    </xf>
    <xf numFmtId="0" fontId="34" fillId="10" borderId="1" xfId="0" applyFont="1" applyFill="1" applyBorder="1" applyAlignment="1" applyProtection="1">
      <alignment horizontal="center" vertical="center" wrapText="1"/>
      <protection locked="0"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4" fontId="2" fillId="10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0" fillId="2" borderId="1" xfId="0" applyNumberFormat="1" applyFill="1" applyBorder="1"/>
    <xf numFmtId="4" fontId="0" fillId="2" borderId="1" xfId="0" applyNumberFormat="1" applyFill="1" applyBorder="1"/>
    <xf numFmtId="0" fontId="0" fillId="0" borderId="4" xfId="0" applyBorder="1" applyAlignment="1">
      <alignment vertical="center"/>
    </xf>
    <xf numFmtId="0" fontId="0" fillId="9" borderId="51" xfId="0" applyFill="1" applyBorder="1"/>
    <xf numFmtId="3" fontId="0" fillId="2" borderId="1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9" borderId="5" xfId="0" applyFill="1" applyBorder="1"/>
    <xf numFmtId="0" fontId="18" fillId="0" borderId="0" xfId="0" applyFont="1"/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4" fontId="2" fillId="2" borderId="39" xfId="0" applyNumberFormat="1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 wrapText="1"/>
    </xf>
    <xf numFmtId="4" fontId="2" fillId="2" borderId="51" xfId="0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166" fontId="33" fillId="2" borderId="1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1" fillId="0" borderId="0" xfId="0" applyFont="1"/>
    <xf numFmtId="0" fontId="10" fillId="13" borderId="8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6" fontId="0" fillId="0" borderId="0" xfId="0" applyNumberForma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/>
    </xf>
    <xf numFmtId="4" fontId="14" fillId="2" borderId="63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2" fontId="1" fillId="7" borderId="0" xfId="0" applyNumberFormat="1" applyFont="1" applyFill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/>
    <xf numFmtId="2" fontId="1" fillId="2" borderId="5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 vertical="center"/>
    </xf>
    <xf numFmtId="0" fontId="10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9" borderId="15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vertical="center" wrapText="1"/>
    </xf>
    <xf numFmtId="2" fontId="1" fillId="2" borderId="24" xfId="0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4" fontId="6" fillId="2" borderId="5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1" fillId="0" borderId="0" xfId="0" applyNumberFormat="1" applyFont="1"/>
    <xf numFmtId="0" fontId="1" fillId="3" borderId="24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wrapText="1"/>
    </xf>
    <xf numFmtId="49" fontId="19" fillId="4" borderId="1" xfId="0" applyNumberFormat="1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/>
    </xf>
    <xf numFmtId="4" fontId="14" fillId="11" borderId="61" xfId="0" applyNumberFormat="1" applyFont="1" applyFill="1" applyBorder="1" applyAlignment="1" applyProtection="1">
      <alignment horizontal="center" vertical="center"/>
      <protection locked="0"/>
    </xf>
    <xf numFmtId="4" fontId="14" fillId="11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167" fontId="20" fillId="9" borderId="1" xfId="0" applyNumberFormat="1" applyFont="1" applyFill="1" applyBorder="1" applyAlignment="1">
      <alignment horizontal="center" vertical="center" wrapText="1"/>
    </xf>
    <xf numFmtId="2" fontId="1" fillId="9" borderId="18" xfId="0" applyNumberFormat="1" applyFont="1" applyFill="1" applyBorder="1" applyAlignment="1">
      <alignment vertical="center"/>
    </xf>
    <xf numFmtId="2" fontId="1" fillId="9" borderId="3" xfId="0" applyNumberFormat="1" applyFont="1" applyFill="1" applyBorder="1" applyAlignment="1">
      <alignment vertical="center"/>
    </xf>
    <xf numFmtId="4" fontId="1" fillId="11" borderId="35" xfId="0" applyNumberFormat="1" applyFont="1" applyFill="1" applyBorder="1" applyAlignment="1" applyProtection="1">
      <alignment vertical="center"/>
      <protection locked="0"/>
    </xf>
    <xf numFmtId="4" fontId="0" fillId="11" borderId="44" xfId="0" applyNumberFormat="1" applyFill="1" applyBorder="1" applyAlignment="1" applyProtection="1">
      <alignment vertical="center"/>
      <protection locked="0"/>
    </xf>
    <xf numFmtId="4" fontId="0" fillId="11" borderId="45" xfId="0" applyNumberFormat="1" applyFill="1" applyBorder="1" applyAlignment="1" applyProtection="1">
      <alignment vertical="center"/>
      <protection locked="0"/>
    </xf>
    <xf numFmtId="1" fontId="1" fillId="10" borderId="8" xfId="0" applyNumberFormat="1" applyFont="1" applyFill="1" applyBorder="1" applyAlignment="1" applyProtection="1">
      <alignment horizontal="right" vertical="center"/>
      <protection locked="0"/>
    </xf>
    <xf numFmtId="4" fontId="6" fillId="11" borderId="11" xfId="0" applyNumberFormat="1" applyFont="1" applyFill="1" applyBorder="1" applyAlignment="1" applyProtection="1">
      <alignment horizontal="center" vertical="center"/>
      <protection locked="0"/>
    </xf>
    <xf numFmtId="4" fontId="6" fillId="11" borderId="28" xfId="0" applyNumberFormat="1" applyFont="1" applyFill="1" applyBorder="1" applyAlignment="1" applyProtection="1">
      <alignment horizontal="center" vertical="center"/>
      <protection locked="0"/>
    </xf>
    <xf numFmtId="4" fontId="6" fillId="11" borderId="13" xfId="0" applyNumberFormat="1" applyFont="1" applyFill="1" applyBorder="1" applyAlignment="1" applyProtection="1">
      <alignment horizontal="center" vertical="center"/>
      <protection locked="0"/>
    </xf>
    <xf numFmtId="0" fontId="1" fillId="17" borderId="0" xfId="0" applyFont="1" applyFill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" fontId="14" fillId="11" borderId="35" xfId="0" applyNumberFormat="1" applyFont="1" applyFill="1" applyBorder="1" applyAlignment="1" applyProtection="1">
      <alignment horizontal="center" vertical="center"/>
      <protection locked="0"/>
    </xf>
    <xf numFmtId="4" fontId="14" fillId="11" borderId="44" xfId="0" applyNumberFormat="1" applyFont="1" applyFill="1" applyBorder="1" applyAlignment="1" applyProtection="1">
      <alignment horizontal="center" vertical="center"/>
      <protection locked="0"/>
    </xf>
    <xf numFmtId="4" fontId="16" fillId="2" borderId="36" xfId="0" applyNumberFormat="1" applyFont="1" applyFill="1" applyBorder="1" applyAlignment="1">
      <alignment horizontal="center" vertical="center"/>
    </xf>
    <xf numFmtId="0" fontId="7" fillId="9" borderId="19" xfId="0" applyFont="1" applyFill="1" applyBorder="1" applyAlignment="1">
      <alignment horizontal="center" vertical="center" wrapText="1"/>
    </xf>
    <xf numFmtId="4" fontId="7" fillId="13" borderId="36" xfId="0" applyNumberFormat="1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0" fontId="34" fillId="10" borderId="8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/>
    <xf numFmtId="0" fontId="0" fillId="0" borderId="1" xfId="0" applyBorder="1"/>
    <xf numFmtId="165" fontId="6" fillId="11" borderId="35" xfId="0" applyNumberFormat="1" applyFont="1" applyFill="1" applyBorder="1" applyAlignment="1" applyProtection="1">
      <alignment horizontal="center" vertical="center"/>
      <protection locked="0"/>
    </xf>
    <xf numFmtId="4" fontId="28" fillId="2" borderId="11" xfId="0" applyNumberFormat="1" applyFont="1" applyFill="1" applyBorder="1" applyAlignment="1">
      <alignment horizontal="center" vertical="center"/>
    </xf>
    <xf numFmtId="4" fontId="28" fillId="2" borderId="28" xfId="0" applyNumberFormat="1" applyFont="1" applyFill="1" applyBorder="1" applyAlignment="1">
      <alignment horizontal="center" vertical="center"/>
    </xf>
    <xf numFmtId="4" fontId="17" fillId="2" borderId="13" xfId="0" applyNumberFormat="1" applyFont="1" applyFill="1" applyBorder="1" applyAlignment="1">
      <alignment horizontal="center" vertical="center"/>
    </xf>
    <xf numFmtId="4" fontId="17" fillId="2" borderId="27" xfId="0" applyNumberFormat="1" applyFont="1" applyFill="1" applyBorder="1" applyAlignment="1">
      <alignment horizontal="center" vertical="center"/>
    </xf>
    <xf numFmtId="4" fontId="6" fillId="2" borderId="65" xfId="0" applyNumberFormat="1" applyFont="1" applyFill="1" applyBorder="1" applyAlignment="1" applyProtection="1">
      <alignment horizontal="center" vertical="center"/>
      <protection locked="0"/>
    </xf>
    <xf numFmtId="4" fontId="6" fillId="2" borderId="65" xfId="0" applyNumberFormat="1" applyFont="1" applyFill="1" applyBorder="1" applyAlignment="1" applyProtection="1">
      <alignment horizontal="center" vertical="center" wrapText="1"/>
      <protection locked="0"/>
    </xf>
    <xf numFmtId="4" fontId="4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166" fontId="0" fillId="2" borderId="11" xfId="0" applyNumberFormat="1" applyFill="1" applyBorder="1"/>
    <xf numFmtId="2" fontId="0" fillId="6" borderId="15" xfId="0" applyNumberFormat="1" applyFill="1" applyBorder="1"/>
    <xf numFmtId="0" fontId="0" fillId="6" borderId="1" xfId="0" applyFill="1" applyBorder="1" applyAlignment="1">
      <alignment horizontal="right"/>
    </xf>
    <xf numFmtId="2" fontId="0" fillId="2" borderId="1" xfId="0" applyNumberFormat="1" applyFill="1" applyBorder="1"/>
    <xf numFmtId="2" fontId="0" fillId="6" borderId="1" xfId="0" applyNumberFormat="1" applyFill="1" applyBorder="1" applyAlignment="1">
      <alignment horizontal="right"/>
    </xf>
    <xf numFmtId="2" fontId="0" fillId="6" borderId="5" xfId="0" applyNumberFormat="1" applyFill="1" applyBorder="1"/>
    <xf numFmtId="2" fontId="0" fillId="2" borderId="5" xfId="0" applyNumberFormat="1" applyFill="1" applyBorder="1"/>
    <xf numFmtId="2" fontId="0" fillId="20" borderId="1" xfId="0" applyNumberFormat="1" applyFill="1" applyBorder="1" applyAlignment="1">
      <alignment horizontal="center" vertical="center"/>
    </xf>
    <xf numFmtId="0" fontId="5" fillId="5" borderId="17" xfId="0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5" fillId="21" borderId="22" xfId="0" applyFont="1" applyFill="1" applyBorder="1" applyAlignment="1">
      <alignment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0" fillId="9" borderId="41" xfId="0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164" fontId="2" fillId="0" borderId="43" xfId="0" applyNumberFormat="1" applyFont="1" applyBorder="1" applyAlignment="1" applyProtection="1">
      <alignment horizontal="center" vertical="center"/>
      <protection locked="0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5" fillId="9" borderId="1" xfId="0" applyFont="1" applyFill="1" applyBorder="1" applyAlignment="1">
      <alignment horizontal="right" vertical="center"/>
    </xf>
    <xf numFmtId="0" fontId="3" fillId="9" borderId="15" xfId="0" applyFont="1" applyFill="1" applyBorder="1" applyAlignment="1">
      <alignment horizontal="center" vertical="center"/>
    </xf>
    <xf numFmtId="164" fontId="8" fillId="9" borderId="19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/>
    <xf numFmtId="164" fontId="8" fillId="9" borderId="2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wrapText="1"/>
    </xf>
    <xf numFmtId="4" fontId="0" fillId="0" borderId="31" xfId="0" applyNumberFormat="1" applyBorder="1"/>
    <xf numFmtId="4" fontId="0" fillId="0" borderId="13" xfId="0" applyNumberFormat="1" applyBorder="1"/>
    <xf numFmtId="0" fontId="0" fillId="0" borderId="3" xfId="0" applyBorder="1"/>
    <xf numFmtId="4" fontId="0" fillId="9" borderId="4" xfId="0" applyNumberFormat="1" applyFill="1" applyBorder="1"/>
    <xf numFmtId="4" fontId="0" fillId="9" borderId="31" xfId="0" applyNumberFormat="1" applyFill="1" applyBorder="1"/>
    <xf numFmtId="4" fontId="0" fillId="9" borderId="13" xfId="0" applyNumberFormat="1" applyFill="1" applyBorder="1"/>
    <xf numFmtId="4" fontId="0" fillId="10" borderId="31" xfId="0" applyNumberFormat="1" applyFill="1" applyBorder="1"/>
    <xf numFmtId="4" fontId="0" fillId="10" borderId="13" xfId="0" applyNumberFormat="1" applyFill="1" applyBorder="1"/>
    <xf numFmtId="4" fontId="0" fillId="9" borderId="33" xfId="0" applyNumberFormat="1" applyFill="1" applyBorder="1"/>
    <xf numFmtId="4" fontId="0" fillId="9" borderId="34" xfId="0" applyNumberFormat="1" applyFill="1" applyBorder="1"/>
    <xf numFmtId="0" fontId="0" fillId="10" borderId="13" xfId="0" applyFill="1" applyBorder="1"/>
    <xf numFmtId="0" fontId="0" fillId="9" borderId="31" xfId="0" applyFill="1" applyBorder="1"/>
    <xf numFmtId="0" fontId="3" fillId="9" borderId="51" xfId="0" applyFont="1" applyFill="1" applyBorder="1" applyAlignment="1">
      <alignment vertical="center"/>
    </xf>
    <xf numFmtId="0" fontId="3" fillId="9" borderId="1" xfId="0" applyFont="1" applyFill="1" applyBorder="1" applyAlignment="1">
      <alignment wrapText="1"/>
    </xf>
    <xf numFmtId="4" fontId="0" fillId="0" borderId="4" xfId="0" applyNumberFormat="1" applyBorder="1"/>
    <xf numFmtId="2" fontId="0" fillId="0" borderId="4" xfId="0" applyNumberFormat="1" applyBorder="1"/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9" borderId="34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8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Border="1" applyAlignment="1">
      <alignment vertical="center"/>
    </xf>
    <xf numFmtId="4" fontId="0" fillId="0" borderId="67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4" fontId="0" fillId="0" borderId="33" xfId="0" applyNumberFormat="1" applyBorder="1" applyAlignment="1">
      <alignment vertical="center"/>
    </xf>
    <xf numFmtId="4" fontId="0" fillId="9" borderId="34" xfId="0" applyNumberFormat="1" applyFill="1" applyBorder="1" applyAlignment="1">
      <alignment vertical="center"/>
    </xf>
    <xf numFmtId="4" fontId="0" fillId="0" borderId="3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9" borderId="31" xfId="0" applyNumberFormat="1" applyFill="1" applyBorder="1" applyAlignment="1">
      <alignment vertical="center"/>
    </xf>
    <xf numFmtId="4" fontId="0" fillId="9" borderId="13" xfId="0" applyNumberFormat="1" applyFill="1" applyBorder="1" applyAlignment="1">
      <alignment vertical="center"/>
    </xf>
    <xf numFmtId="4" fontId="0" fillId="9" borderId="4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4" fontId="0" fillId="10" borderId="31" xfId="0" applyNumberFormat="1" applyFill="1" applyBorder="1" applyAlignment="1">
      <alignment vertical="center"/>
    </xf>
    <xf numFmtId="0" fontId="0" fillId="5" borderId="17" xfId="0" applyFill="1" applyBorder="1"/>
    <xf numFmtId="0" fontId="0" fillId="5" borderId="68" xfId="0" applyFill="1" applyBorder="1"/>
    <xf numFmtId="0" fontId="0" fillId="5" borderId="26" xfId="0" applyFill="1" applyBorder="1"/>
    <xf numFmtId="0" fontId="0" fillId="5" borderId="50" xfId="0" applyFill="1" applyBorder="1"/>
    <xf numFmtId="0" fontId="0" fillId="5" borderId="66" xfId="0" applyFill="1" applyBorder="1"/>
    <xf numFmtId="0" fontId="0" fillId="5" borderId="54" xfId="0" applyFill="1" applyBorder="1"/>
    <xf numFmtId="0" fontId="0" fillId="5" borderId="5" xfId="0" applyFill="1" applyBorder="1"/>
    <xf numFmtId="0" fontId="0" fillId="5" borderId="51" xfId="0" applyFill="1" applyBorder="1"/>
    <xf numFmtId="0" fontId="0" fillId="5" borderId="8" xfId="0" applyFill="1" applyBorder="1"/>
    <xf numFmtId="166" fontId="30" fillId="23" borderId="15" xfId="0" applyNumberFormat="1" applyFont="1" applyFill="1" applyBorder="1" applyAlignment="1">
      <alignment horizontal="center" vertical="center" wrapText="1"/>
    </xf>
    <xf numFmtId="0" fontId="2" fillId="23" borderId="8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9" borderId="13" xfId="0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 wrapText="1"/>
    </xf>
    <xf numFmtId="0" fontId="38" fillId="3" borderId="5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2" fontId="1" fillId="2" borderId="51" xfId="0" applyNumberFormat="1" applyFont="1" applyFill="1" applyBorder="1" applyAlignment="1">
      <alignment horizontal="center" vertical="center"/>
    </xf>
    <xf numFmtId="4" fontId="14" fillId="2" borderId="41" xfId="0" applyNumberFormat="1" applyFont="1" applyFill="1" applyBorder="1" applyAlignment="1">
      <alignment horizontal="center" vertical="center"/>
    </xf>
    <xf numFmtId="0" fontId="34" fillId="10" borderId="15" xfId="0" applyFont="1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>
      <alignment vertical="center"/>
    </xf>
    <xf numFmtId="4" fontId="14" fillId="2" borderId="7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166" fontId="0" fillId="2" borderId="1" xfId="0" applyNumberFormat="1" applyFill="1" applyBorder="1" applyAlignment="1">
      <alignment vertical="center"/>
    </xf>
    <xf numFmtId="0" fontId="3" fillId="5" borderId="51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35" fillId="2" borderId="5" xfId="0" applyNumberFormat="1" applyFont="1" applyFill="1" applyBorder="1" applyAlignment="1">
      <alignment horizontal="center" vertical="center"/>
    </xf>
    <xf numFmtId="0" fontId="0" fillId="9" borderId="21" xfId="0" applyFill="1" applyBorder="1"/>
    <xf numFmtId="0" fontId="0" fillId="9" borderId="71" xfId="0" applyFill="1" applyBorder="1"/>
    <xf numFmtId="4" fontId="36" fillId="2" borderId="15" xfId="0" applyNumberFormat="1" applyFont="1" applyFill="1" applyBorder="1" applyAlignment="1">
      <alignment horizontal="center"/>
    </xf>
    <xf numFmtId="0" fontId="0" fillId="11" borderId="11" xfId="0" applyFill="1" applyBorder="1" applyProtection="1">
      <protection locked="0"/>
    </xf>
    <xf numFmtId="4" fontId="35" fillId="2" borderId="15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horizontal="center" vertical="center"/>
    </xf>
    <xf numFmtId="0" fontId="0" fillId="11" borderId="16" xfId="0" applyFill="1" applyBorder="1" applyProtection="1">
      <protection locked="0"/>
    </xf>
    <xf numFmtId="0" fontId="0" fillId="11" borderId="41" xfId="0" applyFill="1" applyBorder="1" applyProtection="1">
      <protection locked="0"/>
    </xf>
    <xf numFmtId="2" fontId="36" fillId="2" borderId="21" xfId="0" applyNumberFormat="1" applyFont="1" applyFill="1" applyBorder="1" applyAlignment="1">
      <alignment horizontal="center" vertical="center"/>
    </xf>
    <xf numFmtId="4" fontId="35" fillId="2" borderId="15" xfId="0" applyNumberFormat="1" applyFont="1" applyFill="1" applyBorder="1" applyAlignment="1">
      <alignment horizontal="center" vertical="center" wrapText="1"/>
    </xf>
    <xf numFmtId="0" fontId="1" fillId="9" borderId="58" xfId="0" applyFont="1" applyFill="1" applyBorder="1" applyAlignment="1">
      <alignment horizontal="center" vertical="center"/>
    </xf>
    <xf numFmtId="0" fontId="1" fillId="11" borderId="70" xfId="0" applyFont="1" applyFill="1" applyBorder="1" applyAlignment="1" applyProtection="1">
      <alignment horizontal="center" vertical="center" wrapText="1"/>
      <protection locked="0"/>
    </xf>
    <xf numFmtId="166" fontId="1" fillId="4" borderId="58" xfId="0" applyNumberFormat="1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2" fontId="1" fillId="9" borderId="19" xfId="0" applyNumberFormat="1" applyFont="1" applyFill="1" applyBorder="1" applyAlignment="1">
      <alignment horizontal="center" vertical="center"/>
    </xf>
    <xf numFmtId="2" fontId="1" fillId="9" borderId="53" xfId="0" applyNumberFormat="1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1" fillId="9" borderId="53" xfId="0" applyFont="1" applyFill="1" applyBorder="1" applyAlignment="1">
      <alignment vertical="center"/>
    </xf>
    <xf numFmtId="0" fontId="6" fillId="9" borderId="53" xfId="0" applyFont="1" applyFill="1" applyBorder="1" applyAlignment="1">
      <alignment horizontal="center" vertical="center" wrapText="1"/>
    </xf>
    <xf numFmtId="4" fontId="36" fillId="2" borderId="11" xfId="0" applyNumberFormat="1" applyFont="1" applyFill="1" applyBorder="1" applyAlignment="1">
      <alignment horizontal="center" vertical="center"/>
    </xf>
    <xf numFmtId="4" fontId="36" fillId="2" borderId="13" xfId="0" applyNumberFormat="1" applyFont="1" applyFill="1" applyBorder="1" applyAlignment="1">
      <alignment horizontal="center" vertical="center"/>
    </xf>
    <xf numFmtId="4" fontId="35" fillId="2" borderId="43" xfId="0" applyNumberFormat="1" applyFont="1" applyFill="1" applyBorder="1" applyAlignment="1">
      <alignment horizontal="center" vertical="center"/>
    </xf>
    <xf numFmtId="4" fontId="35" fillId="2" borderId="3" xfId="0" applyNumberFormat="1" applyFont="1" applyFill="1" applyBorder="1" applyAlignment="1">
      <alignment horizontal="center" vertical="center"/>
    </xf>
    <xf numFmtId="3" fontId="46" fillId="2" borderId="43" xfId="0" applyNumberFormat="1" applyFont="1" applyFill="1" applyBorder="1" applyAlignment="1">
      <alignment horizontal="center" vertical="center" wrapText="1"/>
    </xf>
    <xf numFmtId="49" fontId="46" fillId="2" borderId="3" xfId="0" applyNumberFormat="1" applyFont="1" applyFill="1" applyBorder="1" applyAlignment="1">
      <alignment horizontal="center" vertical="center" wrapText="1"/>
    </xf>
    <xf numFmtId="4" fontId="46" fillId="10" borderId="3" xfId="0" applyNumberFormat="1" applyFont="1" applyFill="1" applyBorder="1" applyAlignment="1" applyProtection="1">
      <alignment horizontal="center" vertical="center" wrapText="1"/>
      <protection locked="0"/>
    </xf>
    <xf numFmtId="4" fontId="46" fillId="10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9" xfId="0" applyNumberFormat="1" applyFont="1" applyFill="1" applyBorder="1" applyAlignment="1">
      <alignment horizontal="center" vertical="center"/>
    </xf>
    <xf numFmtId="4" fontId="14" fillId="2" borderId="58" xfId="0" applyNumberFormat="1" applyFont="1" applyFill="1" applyBorder="1" applyAlignment="1">
      <alignment horizontal="center" vertical="center"/>
    </xf>
    <xf numFmtId="4" fontId="6" fillId="13" borderId="2" xfId="0" applyNumberFormat="1" applyFont="1" applyFill="1" applyBorder="1" applyAlignment="1">
      <alignment horizontal="center" vertical="center"/>
    </xf>
    <xf numFmtId="4" fontId="6" fillId="13" borderId="16" xfId="0" applyNumberFormat="1" applyFont="1" applyFill="1" applyBorder="1" applyAlignment="1">
      <alignment horizontal="center" vertical="center"/>
    </xf>
    <xf numFmtId="4" fontId="6" fillId="2" borderId="34" xfId="0" applyNumberFormat="1" applyFont="1" applyFill="1" applyBorder="1" applyAlignment="1">
      <alignment horizontal="center" vertical="center" wrapText="1"/>
    </xf>
    <xf numFmtId="164" fontId="8" fillId="0" borderId="58" xfId="0" applyNumberFormat="1" applyFont="1" applyBorder="1" applyAlignment="1" applyProtection="1">
      <alignment vertical="center" wrapText="1"/>
      <protection locked="0"/>
    </xf>
    <xf numFmtId="2" fontId="36" fillId="9" borderId="39" xfId="0" applyNumberFormat="1" applyFont="1" applyFill="1" applyBorder="1" applyAlignment="1">
      <alignment horizontal="center" vertical="center"/>
    </xf>
    <xf numFmtId="2" fontId="36" fillId="9" borderId="51" xfId="0" applyNumberFormat="1" applyFont="1" applyFill="1" applyBorder="1" applyAlignment="1">
      <alignment horizontal="center" vertical="center"/>
    </xf>
    <xf numFmtId="2" fontId="36" fillId="9" borderId="29" xfId="0" applyNumberFormat="1" applyFont="1" applyFill="1" applyBorder="1" applyAlignment="1">
      <alignment horizontal="center" vertical="center"/>
    </xf>
    <xf numFmtId="0" fontId="0" fillId="11" borderId="61" xfId="0" applyFill="1" applyBorder="1" applyProtection="1">
      <protection locked="0"/>
    </xf>
    <xf numFmtId="0" fontId="0" fillId="11" borderId="23" xfId="0" applyFill="1" applyBorder="1" applyProtection="1">
      <protection locked="0"/>
    </xf>
    <xf numFmtId="0" fontId="0" fillId="11" borderId="63" xfId="0" applyFill="1" applyBorder="1" applyProtection="1">
      <protection locked="0"/>
    </xf>
    <xf numFmtId="4" fontId="36" fillId="2" borderId="47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 vertical="center" wrapText="1"/>
    </xf>
    <xf numFmtId="4" fontId="36" fillId="2" borderId="47" xfId="0" applyNumberFormat="1" applyFont="1" applyFill="1" applyBorder="1" applyAlignment="1">
      <alignment horizontal="center" vertical="center"/>
    </xf>
    <xf numFmtId="0" fontId="0" fillId="11" borderId="13" xfId="0" applyFill="1" applyBorder="1" applyProtection="1">
      <protection locked="0"/>
    </xf>
    <xf numFmtId="0" fontId="16" fillId="11" borderId="23" xfId="0" applyFont="1" applyFill="1" applyBorder="1" applyProtection="1">
      <protection locked="0"/>
    </xf>
    <xf numFmtId="4" fontId="16" fillId="2" borderId="47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1" xfId="0" applyFill="1" applyBorder="1" applyAlignment="1">
      <alignment vertical="center" wrapText="1"/>
    </xf>
    <xf numFmtId="0" fontId="0" fillId="25" borderId="1" xfId="0" applyFill="1" applyBorder="1" applyAlignment="1">
      <alignment vertical="center"/>
    </xf>
    <xf numFmtId="0" fontId="0" fillId="25" borderId="1" xfId="0" applyFill="1" applyBorder="1"/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2" fontId="8" fillId="10" borderId="15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10" xfId="0" applyNumberFormat="1" applyFont="1" applyFill="1" applyBorder="1" applyAlignment="1">
      <alignment horizontal="center"/>
    </xf>
    <xf numFmtId="4" fontId="6" fillId="11" borderId="1" xfId="0" applyNumberFormat="1" applyFont="1" applyFill="1" applyBorder="1" applyAlignment="1">
      <alignment horizontal="center" vertical="center" wrapText="1"/>
    </xf>
    <xf numFmtId="4" fontId="36" fillId="2" borderId="15" xfId="0" applyNumberFormat="1" applyFont="1" applyFill="1" applyBorder="1" applyAlignment="1">
      <alignment horizontal="center" vertical="center"/>
    </xf>
    <xf numFmtId="0" fontId="0" fillId="9" borderId="43" xfId="0" applyFill="1" applyBorder="1" applyAlignment="1">
      <alignment horizontal="right"/>
    </xf>
    <xf numFmtId="0" fontId="0" fillId="9" borderId="56" xfId="0" applyFill="1" applyBorder="1" applyAlignment="1">
      <alignment horizontal="right"/>
    </xf>
    <xf numFmtId="0" fontId="2" fillId="0" borderId="0" xfId="0" applyFont="1" applyAlignment="1">
      <alignment vertical="top"/>
    </xf>
    <xf numFmtId="4" fontId="0" fillId="0" borderId="31" xfId="0" applyNumberFormat="1" applyBorder="1" applyAlignment="1">
      <alignment horizontal="center" vertical="center" wrapText="1"/>
    </xf>
    <xf numFmtId="0" fontId="5" fillId="9" borderId="54" xfId="0" applyFont="1" applyFill="1" applyBorder="1" applyAlignment="1">
      <alignment horizontal="right" vertical="center"/>
    </xf>
    <xf numFmtId="2" fontId="29" fillId="4" borderId="1" xfId="0" applyNumberFormat="1" applyFont="1" applyFill="1" applyBorder="1" applyAlignment="1">
      <alignment horizontal="center" vertical="center"/>
    </xf>
    <xf numFmtId="165" fontId="14" fillId="11" borderId="44" xfId="0" applyNumberFormat="1" applyFont="1" applyFill="1" applyBorder="1" applyAlignment="1" applyProtection="1">
      <alignment horizontal="center" vertical="center"/>
      <protection locked="0"/>
    </xf>
    <xf numFmtId="4" fontId="47" fillId="11" borderId="35" xfId="0" applyNumberFormat="1" applyFont="1" applyFill="1" applyBorder="1" applyAlignment="1">
      <alignment horizontal="center" vertical="center"/>
    </xf>
    <xf numFmtId="4" fontId="47" fillId="11" borderId="41" xfId="0" applyNumberFormat="1" applyFont="1" applyFill="1" applyBorder="1" applyAlignment="1">
      <alignment horizontal="center" vertical="center" wrapText="1"/>
    </xf>
    <xf numFmtId="4" fontId="13" fillId="11" borderId="44" xfId="0" applyNumberFormat="1" applyFont="1" applyFill="1" applyBorder="1" applyAlignment="1" applyProtection="1">
      <alignment vertical="center" wrapText="1"/>
      <protection locked="0"/>
    </xf>
    <xf numFmtId="4" fontId="47" fillId="11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9" fillId="3" borderId="5" xfId="0" applyFont="1" applyFill="1" applyBorder="1" applyAlignment="1">
      <alignment horizontal="center" vertical="center" wrapText="1"/>
    </xf>
    <xf numFmtId="0" fontId="49" fillId="14" borderId="36" xfId="0" applyFont="1" applyFill="1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 wrapText="1"/>
    </xf>
    <xf numFmtId="0" fontId="53" fillId="7" borderId="16" xfId="0" applyFont="1" applyFill="1" applyBorder="1" applyAlignment="1">
      <alignment horizontal="center" vertical="center" wrapText="1"/>
    </xf>
    <xf numFmtId="4" fontId="14" fillId="11" borderId="10" xfId="0" applyNumberFormat="1" applyFont="1" applyFill="1" applyBorder="1" applyAlignment="1">
      <alignment horizontal="center" vertical="center"/>
    </xf>
    <xf numFmtId="4" fontId="14" fillId="11" borderId="51" xfId="0" applyNumberFormat="1" applyFont="1" applyFill="1" applyBorder="1" applyAlignment="1">
      <alignment horizontal="center" vertical="center"/>
    </xf>
    <xf numFmtId="4" fontId="14" fillId="11" borderId="1" xfId="0" applyNumberFormat="1" applyFont="1" applyFill="1" applyBorder="1" applyAlignment="1">
      <alignment horizontal="center"/>
    </xf>
    <xf numFmtId="4" fontId="5" fillId="19" borderId="8" xfId="0" applyNumberFormat="1" applyFont="1" applyFill="1" applyBorder="1" applyAlignment="1">
      <alignment horizontal="center" vertical="center"/>
    </xf>
    <xf numFmtId="4" fontId="54" fillId="19" borderId="8" xfId="0" applyNumberFormat="1" applyFont="1" applyFill="1" applyBorder="1" applyAlignment="1">
      <alignment horizontal="center" vertical="center"/>
    </xf>
    <xf numFmtId="0" fontId="0" fillId="11" borderId="0" xfId="0" applyFill="1"/>
    <xf numFmtId="1" fontId="0" fillId="11" borderId="0" xfId="0" applyNumberFormat="1" applyFill="1"/>
    <xf numFmtId="0" fontId="13" fillId="11" borderId="0" xfId="0" applyFont="1" applyFill="1"/>
    <xf numFmtId="0" fontId="0" fillId="0" borderId="50" xfId="0" applyBorder="1"/>
    <xf numFmtId="0" fontId="0" fillId="0" borderId="43" xfId="0" applyBorder="1"/>
    <xf numFmtId="0" fontId="0" fillId="0" borderId="54" xfId="0" applyBorder="1"/>
    <xf numFmtId="0" fontId="3" fillId="10" borderId="24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10" borderId="10" xfId="0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166" fontId="33" fillId="2" borderId="10" xfId="0" applyNumberFormat="1" applyFont="1" applyFill="1" applyBorder="1" applyAlignment="1">
      <alignment horizontal="center" vertical="center"/>
    </xf>
    <xf numFmtId="166" fontId="30" fillId="23" borderId="10" xfId="0" applyNumberFormat="1" applyFont="1" applyFill="1" applyBorder="1" applyAlignment="1">
      <alignment horizontal="center" vertical="center"/>
    </xf>
    <xf numFmtId="166" fontId="33" fillId="2" borderId="11" xfId="0" applyNumberFormat="1" applyFont="1" applyFill="1" applyBorder="1" applyAlignment="1">
      <alignment horizontal="left" vertical="center"/>
    </xf>
    <xf numFmtId="0" fontId="5" fillId="3" borderId="67" xfId="0" applyFont="1" applyFill="1" applyBorder="1" applyAlignment="1">
      <alignment horizontal="center" vertical="center" wrapText="1"/>
    </xf>
    <xf numFmtId="0" fontId="1" fillId="9" borderId="17" xfId="0" applyFont="1" applyFill="1" applyBorder="1"/>
    <xf numFmtId="0" fontId="6" fillId="9" borderId="0" xfId="0" applyFont="1" applyFill="1" applyAlignment="1">
      <alignment vertical="center"/>
    </xf>
    <xf numFmtId="0" fontId="51" fillId="14" borderId="63" xfId="0" applyFont="1" applyFill="1" applyBorder="1" applyAlignment="1">
      <alignment horizontal="center" vertical="center"/>
    </xf>
    <xf numFmtId="0" fontId="1" fillId="11" borderId="61" xfId="0" applyFont="1" applyFill="1" applyBorder="1" applyAlignment="1" applyProtection="1">
      <alignment horizontal="center" vertical="center"/>
      <protection locked="0"/>
    </xf>
    <xf numFmtId="0" fontId="1" fillId="11" borderId="23" xfId="0" applyFont="1" applyFill="1" applyBorder="1" applyAlignment="1" applyProtection="1">
      <alignment horizontal="center" vertical="center"/>
      <protection locked="0"/>
    </xf>
    <xf numFmtId="0" fontId="1" fillId="11" borderId="63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>
      <alignment vertical="center"/>
    </xf>
    <xf numFmtId="0" fontId="1" fillId="11" borderId="70" xfId="0" applyFont="1" applyFill="1" applyBorder="1" applyAlignment="1" applyProtection="1">
      <alignment horizontal="center" vertical="center"/>
      <protection locked="0"/>
    </xf>
    <xf numFmtId="2" fontId="1" fillId="11" borderId="61" xfId="0" applyNumberFormat="1" applyFont="1" applyFill="1" applyBorder="1" applyAlignment="1" applyProtection="1">
      <alignment vertical="center"/>
      <protection locked="0"/>
    </xf>
    <xf numFmtId="2" fontId="1" fillId="11" borderId="23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2" fontId="1" fillId="11" borderId="62" xfId="0" applyNumberFormat="1" applyFont="1" applyFill="1" applyBorder="1" applyAlignment="1" applyProtection="1">
      <alignment vertical="center"/>
      <protection locked="0"/>
    </xf>
    <xf numFmtId="0" fontId="1" fillId="11" borderId="61" xfId="0" applyFont="1" applyFill="1" applyBorder="1" applyAlignment="1" applyProtection="1">
      <alignment vertical="center"/>
      <protection locked="0"/>
    </xf>
    <xf numFmtId="0" fontId="1" fillId="11" borderId="23" xfId="0" applyFont="1" applyFill="1" applyBorder="1" applyAlignment="1" applyProtection="1">
      <alignment vertical="center"/>
      <protection locked="0"/>
    </xf>
    <xf numFmtId="0" fontId="1" fillId="11" borderId="63" xfId="0" applyFont="1" applyFill="1" applyBorder="1" applyAlignment="1" applyProtection="1">
      <alignment vertical="center"/>
      <protection locked="0"/>
    </xf>
    <xf numFmtId="0" fontId="5" fillId="5" borderId="75" xfId="0" applyFont="1" applyFill="1" applyBorder="1" applyAlignment="1">
      <alignment vertical="center" wrapText="1"/>
    </xf>
    <xf numFmtId="0" fontId="1" fillId="11" borderId="76" xfId="0" applyFont="1" applyFill="1" applyBorder="1" applyAlignment="1" applyProtection="1">
      <alignment vertical="center"/>
      <protection locked="0"/>
    </xf>
    <xf numFmtId="0" fontId="1" fillId="9" borderId="25" xfId="0" applyFont="1" applyFill="1" applyBorder="1" applyAlignment="1">
      <alignment horizontal="center" vertical="center" wrapText="1"/>
    </xf>
    <xf numFmtId="0" fontId="15" fillId="14" borderId="76" xfId="0" applyFont="1" applyFill="1" applyBorder="1" applyAlignment="1">
      <alignment horizontal="center" vertical="center" wrapText="1"/>
    </xf>
    <xf numFmtId="0" fontId="1" fillId="11" borderId="62" xfId="0" applyFont="1" applyFill="1" applyBorder="1" applyAlignment="1" applyProtection="1">
      <alignment vertical="center"/>
      <protection locked="0"/>
    </xf>
    <xf numFmtId="0" fontId="1" fillId="6" borderId="63" xfId="0" applyFont="1" applyFill="1" applyBorder="1" applyAlignment="1">
      <alignment vertical="center"/>
    </xf>
    <xf numFmtId="0" fontId="1" fillId="9" borderId="0" xfId="0" applyFont="1" applyFill="1"/>
    <xf numFmtId="0" fontId="2" fillId="9" borderId="70" xfId="0" applyFont="1" applyFill="1" applyBorder="1"/>
    <xf numFmtId="0" fontId="1" fillId="3" borderId="17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4" borderId="70" xfId="0" applyFont="1" applyFill="1" applyBorder="1"/>
    <xf numFmtId="0" fontId="19" fillId="3" borderId="1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 wrapText="1"/>
    </xf>
    <xf numFmtId="0" fontId="20" fillId="4" borderId="70" xfId="0" applyFont="1" applyFill="1" applyBorder="1" applyAlignment="1">
      <alignment horizontal="left" vertical="center" wrapText="1"/>
    </xf>
    <xf numFmtId="0" fontId="19" fillId="10" borderId="17" xfId="0" applyFont="1" applyFill="1" applyBorder="1" applyAlignment="1">
      <alignment horizontal="left" vertical="center"/>
    </xf>
    <xf numFmtId="0" fontId="20" fillId="10" borderId="0" xfId="0" applyFont="1" applyFill="1" applyAlignment="1">
      <alignment horizontal="center" vertical="center" wrapText="1"/>
    </xf>
    <xf numFmtId="49" fontId="20" fillId="14" borderId="13" xfId="0" applyNumberFormat="1" applyFont="1" applyFill="1" applyBorder="1" applyAlignment="1">
      <alignment horizontal="center" vertical="center" wrapText="1"/>
    </xf>
    <xf numFmtId="0" fontId="5" fillId="11" borderId="13" xfId="0" applyFont="1" applyFill="1" applyBorder="1" applyAlignment="1" applyProtection="1">
      <alignment horizontal="center" vertical="center" wrapText="1"/>
      <protection locked="0"/>
    </xf>
    <xf numFmtId="0" fontId="5" fillId="11" borderId="13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/>
    <xf numFmtId="0" fontId="1" fillId="7" borderId="70" xfId="0" applyFont="1" applyFill="1" applyBorder="1"/>
    <xf numFmtId="0" fontId="1" fillId="0" borderId="17" xfId="0" applyFont="1" applyBorder="1"/>
    <xf numFmtId="0" fontId="5" fillId="0" borderId="0" xfId="0" applyFont="1" applyProtection="1">
      <protection locked="0"/>
    </xf>
    <xf numFmtId="0" fontId="1" fillId="0" borderId="70" xfId="0" applyFont="1" applyBorder="1"/>
    <xf numFmtId="0" fontId="5" fillId="0" borderId="0" xfId="0" applyFont="1"/>
    <xf numFmtId="0" fontId="1" fillId="0" borderId="22" xfId="0" applyFont="1" applyBorder="1"/>
    <xf numFmtId="0" fontId="1" fillId="0" borderId="71" xfId="0" applyFont="1" applyBorder="1"/>
    <xf numFmtId="0" fontId="1" fillId="0" borderId="78" xfId="0" applyFont="1" applyBorder="1"/>
    <xf numFmtId="0" fontId="0" fillId="0" borderId="5" xfId="0" applyBorder="1" applyAlignment="1" applyProtection="1">
      <alignment vertical="center"/>
      <protection locked="0"/>
    </xf>
    <xf numFmtId="0" fontId="0" fillId="9" borderId="54" xfId="0" applyFill="1" applyBorder="1"/>
    <xf numFmtId="0" fontId="2" fillId="4" borderId="79" xfId="0" applyFont="1" applyFill="1" applyBorder="1" applyAlignment="1">
      <alignment horizontal="center" vertical="center" wrapText="1"/>
    </xf>
    <xf numFmtId="166" fontId="0" fillId="0" borderId="80" xfId="0" applyNumberFormat="1" applyBorder="1" applyAlignment="1" applyProtection="1">
      <alignment horizontal="center" vertical="center"/>
      <protection locked="0"/>
    </xf>
    <xf numFmtId="0" fontId="2" fillId="4" borderId="80" xfId="0" applyFont="1" applyFill="1" applyBorder="1" applyAlignment="1">
      <alignment horizontal="center" vertical="center" wrapText="1"/>
    </xf>
    <xf numFmtId="2" fontId="0" fillId="0" borderId="80" xfId="0" applyNumberFormat="1" applyBorder="1" applyAlignment="1" applyProtection="1">
      <alignment horizontal="center" vertical="center"/>
      <protection locked="0"/>
    </xf>
    <xf numFmtId="2" fontId="0" fillId="0" borderId="81" xfId="0" applyNumberFormat="1" applyBorder="1" applyAlignment="1" applyProtection="1">
      <alignment horizontal="center" vertical="center"/>
      <protection locked="0"/>
    </xf>
    <xf numFmtId="0" fontId="0" fillId="6" borderId="2" xfId="0" applyFill="1" applyBorder="1"/>
    <xf numFmtId="0" fontId="0" fillId="6" borderId="7" xfId="0" applyFill="1" applyBorder="1"/>
    <xf numFmtId="0" fontId="0" fillId="6" borderId="26" xfId="0" applyFill="1" applyBorder="1"/>
    <xf numFmtId="0" fontId="0" fillId="6" borderId="58" xfId="0" applyFill="1" applyBorder="1"/>
    <xf numFmtId="0" fontId="0" fillId="6" borderId="0" xfId="0" applyFill="1"/>
    <xf numFmtId="0" fontId="0" fillId="6" borderId="50" xfId="0" applyFill="1" applyBorder="1"/>
    <xf numFmtId="0" fontId="0" fillId="0" borderId="58" xfId="0" applyBorder="1"/>
    <xf numFmtId="0" fontId="0" fillId="0" borderId="56" xfId="0" applyBorder="1"/>
    <xf numFmtId="0" fontId="0" fillId="0" borderId="70" xfId="0" applyBorder="1"/>
    <xf numFmtId="0" fontId="0" fillId="7" borderId="26" xfId="0" applyFill="1" applyBorder="1" applyAlignment="1">
      <alignment horizontal="center" wrapText="1"/>
    </xf>
    <xf numFmtId="0" fontId="0" fillId="7" borderId="50" xfId="0" applyFill="1" applyBorder="1"/>
    <xf numFmtId="1" fontId="0" fillId="7" borderId="50" xfId="0" applyNumberFormat="1" applyFill="1" applyBorder="1"/>
    <xf numFmtId="0" fontId="0" fillId="7" borderId="43" xfId="0" applyFill="1" applyBorder="1"/>
    <xf numFmtId="0" fontId="0" fillId="7" borderId="56" xfId="0" applyFill="1" applyBorder="1"/>
    <xf numFmtId="0" fontId="0" fillId="7" borderId="54" xfId="0" applyFill="1" applyBorder="1"/>
    <xf numFmtId="166" fontId="10" fillId="2" borderId="83" xfId="0" applyNumberFormat="1" applyFont="1" applyFill="1" applyBorder="1" applyAlignment="1">
      <alignment horizontal="center" vertical="center"/>
    </xf>
    <xf numFmtId="166" fontId="10" fillId="23" borderId="83" xfId="0" applyNumberFormat="1" applyFont="1" applyFill="1" applyBorder="1" applyAlignment="1">
      <alignment horizontal="center" vertical="center"/>
    </xf>
    <xf numFmtId="166" fontId="10" fillId="2" borderId="83" xfId="0" applyNumberFormat="1" applyFont="1" applyFill="1" applyBorder="1" applyAlignment="1">
      <alignment horizontal="left" vertical="center"/>
    </xf>
    <xf numFmtId="0" fontId="0" fillId="9" borderId="84" xfId="0" applyFill="1" applyBorder="1"/>
    <xf numFmtId="0" fontId="4" fillId="9" borderId="85" xfId="0" applyFont="1" applyFill="1" applyBorder="1"/>
    <xf numFmtId="0" fontId="0" fillId="9" borderId="87" xfId="0" applyFill="1" applyBorder="1"/>
    <xf numFmtId="0" fontId="53" fillId="7" borderId="88" xfId="0" applyFont="1" applyFill="1" applyBorder="1" applyAlignment="1">
      <alignment horizontal="center" vertical="center" wrapText="1"/>
    </xf>
    <xf numFmtId="2" fontId="0" fillId="11" borderId="90" xfId="0" applyNumberFormat="1" applyFill="1" applyBorder="1" applyAlignment="1">
      <alignment horizontal="center" vertical="center"/>
    </xf>
    <xf numFmtId="2" fontId="0" fillId="11" borderId="91" xfId="0" applyNumberFormat="1" applyFill="1" applyBorder="1" applyAlignment="1">
      <alignment horizontal="center" vertical="center"/>
    </xf>
    <xf numFmtId="2" fontId="0" fillId="16" borderId="91" xfId="0" applyNumberFormat="1" applyFill="1" applyBorder="1" applyAlignment="1">
      <alignment horizontal="center" vertical="center"/>
    </xf>
    <xf numFmtId="0" fontId="0" fillId="5" borderId="87" xfId="0" applyFill="1" applyBorder="1" applyAlignment="1">
      <alignment vertical="center" wrapText="1"/>
    </xf>
    <xf numFmtId="0" fontId="0" fillId="9" borderId="99" xfId="0" applyFill="1" applyBorder="1" applyAlignment="1">
      <alignment vertical="center" wrapText="1"/>
    </xf>
    <xf numFmtId="0" fontId="0" fillId="16" borderId="88" xfId="0" applyFill="1" applyBorder="1" applyAlignment="1">
      <alignment vertical="center"/>
    </xf>
    <xf numFmtId="0" fontId="1" fillId="5" borderId="93" xfId="0" applyFont="1" applyFill="1" applyBorder="1"/>
    <xf numFmtId="0" fontId="1" fillId="5" borderId="0" xfId="0" applyFont="1" applyFill="1"/>
    <xf numFmtId="0" fontId="0" fillId="5" borderId="100" xfId="0" applyFill="1" applyBorder="1"/>
    <xf numFmtId="0" fontId="0" fillId="5" borderId="93" xfId="0" applyFill="1" applyBorder="1" applyAlignment="1">
      <alignment vertical="center"/>
    </xf>
    <xf numFmtId="0" fontId="0" fillId="5" borderId="101" xfId="0" applyFill="1" applyBorder="1"/>
    <xf numFmtId="0" fontId="0" fillId="5" borderId="102" xfId="0" applyFill="1" applyBorder="1"/>
    <xf numFmtId="0" fontId="0" fillId="5" borderId="103" xfId="0" applyFill="1" applyBorder="1"/>
    <xf numFmtId="0" fontId="0" fillId="14" borderId="105" xfId="0" applyFill="1" applyBorder="1" applyAlignment="1">
      <alignment horizontal="left"/>
    </xf>
    <xf numFmtId="0" fontId="0" fillId="14" borderId="106" xfId="0" applyFill="1" applyBorder="1" applyAlignment="1">
      <alignment horizontal="left"/>
    </xf>
    <xf numFmtId="0" fontId="0" fillId="16" borderId="85" xfId="0" applyFill="1" applyBorder="1"/>
    <xf numFmtId="0" fontId="0" fillId="14" borderId="100" xfId="0" applyFill="1" applyBorder="1"/>
    <xf numFmtId="0" fontId="0" fillId="16" borderId="87" xfId="0" applyFill="1" applyBorder="1"/>
    <xf numFmtId="0" fontId="0" fillId="9" borderId="0" xfId="0" applyFill="1"/>
    <xf numFmtId="0" fontId="0" fillId="9" borderId="93" xfId="0" applyFill="1" applyBorder="1"/>
    <xf numFmtId="0" fontId="0" fillId="9" borderId="0" xfId="0" applyFill="1" applyAlignment="1">
      <alignment horizontal="right"/>
    </xf>
    <xf numFmtId="0" fontId="0" fillId="14" borderId="93" xfId="0" applyFill="1" applyBorder="1"/>
    <xf numFmtId="0" fontId="0" fillId="14" borderId="0" xfId="0" applyFill="1"/>
    <xf numFmtId="0" fontId="0" fillId="0" borderId="93" xfId="0" applyBorder="1"/>
    <xf numFmtId="0" fontId="0" fillId="0" borderId="100" xfId="0" applyBorder="1"/>
    <xf numFmtId="0" fontId="0" fillId="0" borderId="101" xfId="0" applyBorder="1"/>
    <xf numFmtId="0" fontId="0" fillId="0" borderId="102" xfId="0" applyBorder="1"/>
    <xf numFmtId="0" fontId="0" fillId="0" borderId="103" xfId="0" applyBorder="1"/>
    <xf numFmtId="0" fontId="0" fillId="11" borderId="2" xfId="0" applyFill="1" applyBorder="1"/>
    <xf numFmtId="0" fontId="0" fillId="11" borderId="26" xfId="0" applyFill="1" applyBorder="1"/>
    <xf numFmtId="0" fontId="0" fillId="11" borderId="58" xfId="0" applyFill="1" applyBorder="1"/>
    <xf numFmtId="0" fontId="0" fillId="11" borderId="50" xfId="0" applyFill="1" applyBorder="1"/>
    <xf numFmtId="0" fontId="0" fillId="11" borderId="43" xfId="0" applyFill="1" applyBorder="1"/>
    <xf numFmtId="0" fontId="2" fillId="11" borderId="56" xfId="0" applyFont="1" applyFill="1" applyBorder="1" applyAlignment="1">
      <alignment vertical="top"/>
    </xf>
    <xf numFmtId="0" fontId="0" fillId="11" borderId="56" xfId="0" applyFill="1" applyBorder="1"/>
    <xf numFmtId="0" fontId="0" fillId="11" borderId="54" xfId="0" applyFill="1" applyBorder="1"/>
    <xf numFmtId="0" fontId="0" fillId="5" borderId="93" xfId="0" applyFill="1" applyBorder="1"/>
    <xf numFmtId="0" fontId="0" fillId="6" borderId="43" xfId="0" applyFill="1" applyBorder="1"/>
    <xf numFmtId="0" fontId="2" fillId="6" borderId="56" xfId="0" applyFont="1" applyFill="1" applyBorder="1" applyAlignment="1">
      <alignment vertical="top"/>
    </xf>
    <xf numFmtId="0" fontId="0" fillId="6" borderId="56" xfId="0" applyFill="1" applyBorder="1"/>
    <xf numFmtId="0" fontId="0" fillId="6" borderId="54" xfId="0" applyFill="1" applyBorder="1"/>
    <xf numFmtId="4" fontId="10" fillId="2" borderId="109" xfId="0" applyNumberFormat="1" applyFont="1" applyFill="1" applyBorder="1" applyAlignment="1">
      <alignment horizontal="center" vertical="center"/>
    </xf>
    <xf numFmtId="0" fontId="31" fillId="19" borderId="5" xfId="0" applyFont="1" applyFill="1" applyBorder="1" applyAlignment="1">
      <alignment vertical="center"/>
    </xf>
    <xf numFmtId="0" fontId="0" fillId="19" borderId="5" xfId="0" applyFill="1" applyBorder="1"/>
    <xf numFmtId="0" fontId="0" fillId="0" borderId="102" xfId="0" applyBorder="1" applyAlignment="1">
      <alignment vertical="center"/>
    </xf>
    <xf numFmtId="0" fontId="10" fillId="0" borderId="102" xfId="0" applyFont="1" applyBorder="1" applyAlignment="1">
      <alignment vertical="center"/>
    </xf>
    <xf numFmtId="166" fontId="30" fillId="22" borderId="19" xfId="0" applyNumberFormat="1" applyFont="1" applyFill="1" applyBorder="1" applyAlignment="1">
      <alignment horizontal="center" vertical="center" wrapText="1"/>
    </xf>
    <xf numFmtId="0" fontId="4" fillId="22" borderId="63" xfId="0" applyFont="1" applyFill="1" applyBorder="1" applyAlignment="1">
      <alignment horizontal="left" vertical="center"/>
    </xf>
    <xf numFmtId="0" fontId="0" fillId="7" borderId="2" xfId="0" applyFill="1" applyBorder="1"/>
    <xf numFmtId="0" fontId="0" fillId="7" borderId="58" xfId="0" applyFill="1" applyBorder="1"/>
    <xf numFmtId="0" fontId="0" fillId="7" borderId="46" xfId="0" applyFill="1" applyBorder="1" applyAlignment="1">
      <alignment horizontal="center" wrapText="1"/>
    </xf>
    <xf numFmtId="0" fontId="0" fillId="7" borderId="46" xfId="0" applyFill="1" applyBorder="1"/>
    <xf numFmtId="49" fontId="1" fillId="0" borderId="1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10" borderId="3" xfId="0" applyNumberFormat="1" applyFont="1" applyFill="1" applyBorder="1" applyAlignment="1" applyProtection="1">
      <alignment horizontal="center" vertical="center"/>
      <protection locked="0"/>
    </xf>
    <xf numFmtId="49" fontId="1" fillId="10" borderId="2" xfId="0" applyNumberFormat="1" applyFont="1" applyFill="1" applyBorder="1" applyAlignment="1" applyProtection="1">
      <alignment horizontal="center" vertical="center"/>
      <protection locked="0"/>
    </xf>
    <xf numFmtId="49" fontId="1" fillId="9" borderId="53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vertical="center"/>
      <protection locked="0"/>
    </xf>
    <xf numFmtId="49" fontId="0" fillId="0" borderId="46" xfId="0" applyNumberFormat="1" applyBorder="1" applyProtection="1">
      <protection locked="0"/>
    </xf>
    <xf numFmtId="49" fontId="1" fillId="10" borderId="2" xfId="0" applyNumberFormat="1" applyFont="1" applyFill="1" applyBorder="1" applyAlignment="1" applyProtection="1">
      <alignment vertical="center"/>
      <protection locked="0"/>
    </xf>
    <xf numFmtId="49" fontId="1" fillId="9" borderId="53" xfId="0" applyNumberFormat="1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  <protection locked="0"/>
    </xf>
    <xf numFmtId="49" fontId="1" fillId="10" borderId="1" xfId="0" applyNumberFormat="1" applyFont="1" applyFill="1" applyBorder="1" applyAlignment="1">
      <alignment vertical="center"/>
    </xf>
    <xf numFmtId="49" fontId="6" fillId="9" borderId="53" xfId="0" applyNumberFormat="1" applyFont="1" applyFill="1" applyBorder="1" applyAlignment="1">
      <alignment horizontal="center" vertical="center" wrapText="1"/>
    </xf>
    <xf numFmtId="49" fontId="21" fillId="3" borderId="59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>
      <alignment horizontal="center" vertical="center"/>
    </xf>
    <xf numFmtId="0" fontId="5" fillId="0" borderId="83" xfId="0" applyFont="1" applyBorder="1" applyAlignment="1" applyProtection="1">
      <alignment horizontal="center"/>
      <protection locked="0"/>
    </xf>
    <xf numFmtId="0" fontId="5" fillId="9" borderId="43" xfId="0" applyFont="1" applyFill="1" applyBorder="1" applyAlignment="1">
      <alignment vertical="center"/>
    </xf>
    <xf numFmtId="166" fontId="1" fillId="0" borderId="18" xfId="0" applyNumberFormat="1" applyFont="1" applyBorder="1" applyAlignment="1" applyProtection="1">
      <alignment vertical="center"/>
      <protection locked="0"/>
    </xf>
    <xf numFmtId="166" fontId="1" fillId="10" borderId="3" xfId="0" applyNumberFormat="1" applyFont="1" applyFill="1" applyBorder="1" applyAlignment="1" applyProtection="1">
      <alignment vertical="center"/>
      <protection locked="0"/>
    </xf>
    <xf numFmtId="166" fontId="1" fillId="10" borderId="2" xfId="0" applyNumberFormat="1" applyFont="1" applyFill="1" applyBorder="1" applyAlignment="1" applyProtection="1">
      <alignment vertical="center"/>
      <protection locked="0"/>
    </xf>
    <xf numFmtId="166" fontId="1" fillId="10" borderId="58" xfId="0" applyNumberFormat="1" applyFont="1" applyFill="1" applyBorder="1" applyAlignment="1" applyProtection="1">
      <alignment vertical="center"/>
      <protection locked="0"/>
    </xf>
    <xf numFmtId="166" fontId="1" fillId="0" borderId="3" xfId="0" applyNumberFormat="1" applyFont="1" applyBorder="1" applyAlignment="1" applyProtection="1">
      <alignment vertical="center"/>
      <protection locked="0"/>
    </xf>
    <xf numFmtId="4" fontId="1" fillId="0" borderId="4" xfId="0" applyNumberFormat="1" applyFont="1" applyBorder="1" applyAlignment="1" applyProtection="1">
      <alignment vertical="center"/>
      <protection locked="0"/>
    </xf>
    <xf numFmtId="4" fontId="1" fillId="10" borderId="2" xfId="0" applyNumberFormat="1" applyFont="1" applyFill="1" applyBorder="1" applyAlignment="1" applyProtection="1">
      <alignment vertical="center"/>
      <protection locked="0"/>
    </xf>
    <xf numFmtId="166" fontId="1" fillId="10" borderId="10" xfId="0" applyNumberFormat="1" applyFont="1" applyFill="1" applyBorder="1" applyAlignment="1" applyProtection="1">
      <alignment vertical="center"/>
      <protection locked="0"/>
    </xf>
    <xf numFmtId="1" fontId="1" fillId="10" borderId="8" xfId="0" applyNumberFormat="1" applyFont="1" applyFill="1" applyBorder="1" applyAlignment="1" applyProtection="1">
      <alignment vertical="center"/>
      <protection locked="0"/>
    </xf>
    <xf numFmtId="1" fontId="1" fillId="10" borderId="1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0" fontId="6" fillId="9" borderId="53" xfId="0" applyFont="1" applyFill="1" applyBorder="1" applyAlignment="1">
      <alignment vertical="center" wrapText="1"/>
    </xf>
    <xf numFmtId="0" fontId="21" fillId="3" borderId="24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2" fontId="1" fillId="10" borderId="1" xfId="0" applyNumberFormat="1" applyFont="1" applyFill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1" fontId="1" fillId="0" borderId="40" xfId="0" applyNumberFormat="1" applyFont="1" applyBorder="1" applyAlignment="1" applyProtection="1">
      <alignment vertical="center"/>
      <protection locked="0"/>
    </xf>
    <xf numFmtId="1" fontId="1" fillId="10" borderId="2" xfId="0" applyNumberFormat="1" applyFont="1" applyFill="1" applyBorder="1" applyAlignment="1" applyProtection="1">
      <alignment vertical="center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166" fontId="1" fillId="0" borderId="1" xfId="0" applyNumberFormat="1" applyFont="1" applyBorder="1" applyAlignment="1" applyProtection="1">
      <alignment vertical="center"/>
      <protection locked="0"/>
    </xf>
    <xf numFmtId="4" fontId="14" fillId="11" borderId="35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44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45" xfId="0" applyNumberFormat="1" applyFont="1" applyFill="1" applyBorder="1" applyAlignment="1" applyProtection="1">
      <alignment horizontal="center" vertical="center" wrapText="1"/>
      <protection locked="0"/>
    </xf>
    <xf numFmtId="4" fontId="14" fillId="11" borderId="64" xfId="0" applyNumberFormat="1" applyFont="1" applyFill="1" applyBorder="1" applyAlignment="1" applyProtection="1">
      <alignment horizontal="center" vertical="center"/>
      <protection locked="0"/>
    </xf>
    <xf numFmtId="4" fontId="14" fillId="2" borderId="36" xfId="0" applyNumberFormat="1" applyFont="1" applyFill="1" applyBorder="1" applyAlignment="1">
      <alignment horizontal="center" vertical="center"/>
    </xf>
    <xf numFmtId="2" fontId="31" fillId="2" borderId="55" xfId="0" applyNumberFormat="1" applyFont="1" applyFill="1" applyBorder="1" applyAlignment="1">
      <alignment horizontal="center" vertical="center" wrapText="1"/>
    </xf>
    <xf numFmtId="4" fontId="32" fillId="11" borderId="48" xfId="0" applyNumberFormat="1" applyFont="1" applyFill="1" applyBorder="1" applyAlignment="1" applyProtection="1">
      <alignment horizontal="center"/>
      <protection locked="0"/>
    </xf>
    <xf numFmtId="4" fontId="32" fillId="11" borderId="4" xfId="0" applyNumberFormat="1" applyFont="1" applyFill="1" applyBorder="1" applyAlignment="1" applyProtection="1">
      <alignment horizontal="center" vertical="center" wrapText="1"/>
      <protection locked="0"/>
    </xf>
    <xf numFmtId="4" fontId="32" fillId="11" borderId="10" xfId="0" applyNumberFormat="1" applyFont="1" applyFill="1" applyBorder="1" applyAlignment="1" applyProtection="1">
      <alignment horizontal="center" vertical="center"/>
      <protection locked="0"/>
    </xf>
    <xf numFmtId="4" fontId="32" fillId="11" borderId="51" xfId="0" applyNumberFormat="1" applyFont="1" applyFill="1" applyBorder="1" applyAlignment="1" applyProtection="1">
      <alignment horizontal="center" vertical="center"/>
      <protection locked="0"/>
    </xf>
    <xf numFmtId="4" fontId="32" fillId="11" borderId="10" xfId="0" applyNumberFormat="1" applyFont="1" applyFill="1" applyBorder="1" applyAlignment="1" applyProtection="1">
      <alignment horizontal="center"/>
      <protection locked="0"/>
    </xf>
    <xf numFmtId="4" fontId="32" fillId="11" borderId="1" xfId="0" applyNumberFormat="1" applyFont="1" applyFill="1" applyBorder="1" applyAlignment="1" applyProtection="1">
      <alignment horizontal="center"/>
      <protection locked="0"/>
    </xf>
    <xf numFmtId="4" fontId="32" fillId="11" borderId="4" xfId="0" applyNumberFormat="1" applyFont="1" applyFill="1" applyBorder="1" applyAlignment="1" applyProtection="1">
      <alignment horizontal="center"/>
      <protection locked="0"/>
    </xf>
    <xf numFmtId="4" fontId="16" fillId="2" borderId="72" xfId="0" applyNumberFormat="1" applyFont="1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>
      <alignment horizontal="center" vertical="center"/>
    </xf>
    <xf numFmtId="0" fontId="2" fillId="4" borderId="43" xfId="0" applyFont="1" applyFill="1" applyBorder="1" applyAlignment="1">
      <alignment horizontal="left" vertical="center"/>
    </xf>
    <xf numFmtId="0" fontId="2" fillId="4" borderId="56" xfId="0" applyFont="1" applyFill="1" applyBorder="1" applyAlignment="1">
      <alignment horizontal="left" vertical="center"/>
    </xf>
    <xf numFmtId="0" fontId="0" fillId="0" borderId="43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4" borderId="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0" borderId="50" xfId="0" applyBorder="1"/>
    <xf numFmtId="0" fontId="0" fillId="0" borderId="43" xfId="0" applyBorder="1"/>
    <xf numFmtId="0" fontId="0" fillId="0" borderId="54" xfId="0" applyBorder="1"/>
    <xf numFmtId="0" fontId="0" fillId="0" borderId="7" xfId="0" applyBorder="1" applyProtection="1">
      <protection locked="0"/>
    </xf>
    <xf numFmtId="0" fontId="0" fillId="0" borderId="26" xfId="0" applyBorder="1" applyProtection="1">
      <protection locked="0"/>
    </xf>
    <xf numFmtId="0" fontId="0" fillId="4" borderId="110" xfId="0" applyFill="1" applyBorder="1" applyAlignment="1">
      <alignment vertical="center" wrapText="1"/>
    </xf>
    <xf numFmtId="0" fontId="0" fillId="0" borderId="111" xfId="0" applyBorder="1" applyAlignment="1">
      <alignment vertical="center" wrapText="1"/>
    </xf>
    <xf numFmtId="0" fontId="0" fillId="0" borderId="110" xfId="0" applyBorder="1" applyAlignment="1" applyProtection="1">
      <alignment vertical="center" wrapText="1"/>
      <protection locked="0"/>
    </xf>
    <xf numFmtId="0" fontId="0" fillId="0" borderId="112" xfId="0" applyBorder="1" applyProtection="1">
      <protection locked="0"/>
    </xf>
    <xf numFmtId="0" fontId="0" fillId="0" borderId="111" xfId="0" applyBorder="1" applyProtection="1">
      <protection locked="0"/>
    </xf>
    <xf numFmtId="0" fontId="0" fillId="11" borderId="46" xfId="0" applyFill="1" applyBorder="1" applyAlignment="1">
      <alignment horizontal="center" vertical="center"/>
    </xf>
    <xf numFmtId="0" fontId="2" fillId="4" borderId="43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0" fillId="10" borderId="110" xfId="0" applyFill="1" applyBorder="1" applyAlignment="1" applyProtection="1">
      <alignment vertical="center" wrapText="1"/>
      <protection locked="0"/>
    </xf>
    <xf numFmtId="0" fontId="0" fillId="10" borderId="112" xfId="0" applyFill="1" applyBorder="1" applyProtection="1">
      <protection locked="0"/>
    </xf>
    <xf numFmtId="0" fontId="0" fillId="10" borderId="111" xfId="0" applyFill="1" applyBorder="1" applyProtection="1">
      <protection locked="0"/>
    </xf>
    <xf numFmtId="0" fontId="5" fillId="7" borderId="46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0" fillId="6" borderId="95" xfId="0" applyFill="1" applyBorder="1" applyAlignment="1">
      <alignment vertical="center" wrapText="1"/>
    </xf>
    <xf numFmtId="0" fontId="0" fillId="6" borderId="96" xfId="0" applyFill="1" applyBorder="1" applyAlignment="1">
      <alignment vertical="center" wrapText="1"/>
    </xf>
    <xf numFmtId="0" fontId="0" fillId="6" borderId="96" xfId="0" applyFill="1" applyBorder="1" applyAlignment="1">
      <alignment wrapText="1"/>
    </xf>
    <xf numFmtId="0" fontId="0" fillId="6" borderId="98" xfId="0" applyFill="1" applyBorder="1" applyAlignment="1">
      <alignment wrapText="1"/>
    </xf>
    <xf numFmtId="0" fontId="5" fillId="4" borderId="89" xfId="0" applyFont="1" applyFill="1" applyBorder="1" applyAlignment="1">
      <alignment vertical="center"/>
    </xf>
    <xf numFmtId="0" fontId="5" fillId="4" borderId="85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5" fillId="5" borderId="89" xfId="0" applyFont="1" applyFill="1" applyBorder="1" applyAlignment="1">
      <alignment vertical="center" wrapText="1"/>
    </xf>
    <xf numFmtId="0" fontId="5" fillId="5" borderId="85" xfId="0" applyFont="1" applyFill="1" applyBorder="1" applyAlignment="1">
      <alignment vertical="center" wrapText="1"/>
    </xf>
    <xf numFmtId="0" fontId="5" fillId="5" borderId="92" xfId="0" applyFont="1" applyFill="1" applyBorder="1" applyAlignment="1">
      <alignment vertical="center" wrapText="1"/>
    </xf>
    <xf numFmtId="0" fontId="5" fillId="5" borderId="93" xfId="0" applyFont="1" applyFill="1" applyBorder="1" applyAlignment="1">
      <alignment vertical="center" wrapText="1"/>
    </xf>
    <xf numFmtId="0" fontId="5" fillId="5" borderId="94" xfId="0" applyFont="1" applyFill="1" applyBorder="1" applyAlignment="1">
      <alignment vertical="center" wrapText="1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49" fontId="1" fillId="10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left" vertical="center" wrapText="1"/>
      <protection locked="0"/>
    </xf>
    <xf numFmtId="49" fontId="0" fillId="10" borderId="4" xfId="0" applyNumberFormat="1" applyFill="1" applyBorder="1" applyAlignment="1" applyProtection="1">
      <alignment horizontal="left" vertical="center" wrapText="1"/>
      <protection locked="0"/>
    </xf>
    <xf numFmtId="49" fontId="1" fillId="9" borderId="53" xfId="0" applyNumberFormat="1" applyFont="1" applyFill="1" applyBorder="1" applyAlignment="1">
      <alignment horizontal="left" vertical="center" wrapText="1"/>
    </xf>
    <xf numFmtId="49" fontId="0" fillId="9" borderId="47" xfId="0" applyNumberFormat="1" applyFill="1" applyBorder="1" applyAlignment="1">
      <alignment horizontal="left" vertical="center" wrapText="1"/>
    </xf>
    <xf numFmtId="49" fontId="1" fillId="9" borderId="47" xfId="0" applyNumberFormat="1" applyFont="1" applyFill="1" applyBorder="1" applyAlignment="1">
      <alignment horizontal="left" vertical="center" wrapText="1"/>
    </xf>
    <xf numFmtId="49" fontId="1" fillId="1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8" xfId="0" applyNumberFormat="1" applyFont="1" applyBorder="1" applyAlignment="1" applyProtection="1">
      <alignment horizontal="left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49" fontId="1" fillId="0" borderId="46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17" fillId="6" borderId="27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left" vertical="center" wrapText="1"/>
    </xf>
    <xf numFmtId="0" fontId="1" fillId="9" borderId="53" xfId="0" applyFont="1" applyFill="1" applyBorder="1" applyAlignment="1">
      <alignment vertical="center" wrapText="1"/>
    </xf>
    <xf numFmtId="0" fontId="0" fillId="9" borderId="47" xfId="0" applyFill="1" applyBorder="1" applyAlignment="1">
      <alignment vertical="center" wrapText="1"/>
    </xf>
    <xf numFmtId="49" fontId="1" fillId="0" borderId="3" xfId="0" applyNumberFormat="1" applyFont="1" applyBorder="1" applyAlignment="1" applyProtection="1">
      <alignment horizontal="left" wrapText="1"/>
      <protection locked="0"/>
    </xf>
    <xf numFmtId="49" fontId="1" fillId="0" borderId="4" xfId="0" applyNumberFormat="1" applyFont="1" applyBorder="1" applyAlignment="1" applyProtection="1">
      <alignment horizontal="left" wrapText="1"/>
      <protection locked="0"/>
    </xf>
    <xf numFmtId="49" fontId="1" fillId="3" borderId="37" xfId="0" applyNumberFormat="1" applyFont="1" applyFill="1" applyBorder="1" applyAlignment="1">
      <alignment horizontal="left" vertical="center" wrapText="1"/>
    </xf>
    <xf numFmtId="49" fontId="0" fillId="0" borderId="59" xfId="0" applyNumberFormat="1" applyBorder="1" applyAlignment="1">
      <alignment horizontal="left" vertical="center" wrapText="1"/>
    </xf>
    <xf numFmtId="0" fontId="50" fillId="11" borderId="46" xfId="0" applyFont="1" applyFill="1" applyBorder="1" applyAlignment="1">
      <alignment horizontal="center" vertical="center"/>
    </xf>
    <xf numFmtId="0" fontId="52" fillId="11" borderId="46" xfId="0" applyFont="1" applyFill="1" applyBorder="1" applyAlignment="1">
      <alignment horizontal="center" vertical="center"/>
    </xf>
    <xf numFmtId="0" fontId="52" fillId="0" borderId="86" xfId="0" applyFont="1" applyBorder="1"/>
    <xf numFmtId="49" fontId="1" fillId="0" borderId="57" xfId="0" applyNumberFormat="1" applyFont="1" applyBorder="1" applyAlignment="1" applyProtection="1">
      <alignment horizontal="left" wrapText="1"/>
      <protection locked="0"/>
    </xf>
    <xf numFmtId="49" fontId="0" fillId="0" borderId="48" xfId="0" applyNumberFormat="1" applyBorder="1" applyAlignment="1" applyProtection="1">
      <alignment horizontal="left" wrapText="1"/>
      <protection locked="0"/>
    </xf>
    <xf numFmtId="0" fontId="1" fillId="9" borderId="27" xfId="0" applyFont="1" applyFill="1" applyBorder="1" applyAlignment="1">
      <alignment vertical="center"/>
    </xf>
    <xf numFmtId="0" fontId="0" fillId="9" borderId="41" xfId="0" applyFill="1" applyBorder="1" applyAlignment="1">
      <alignment vertical="center"/>
    </xf>
    <xf numFmtId="0" fontId="0" fillId="9" borderId="28" xfId="0" applyFill="1" applyBorder="1" applyAlignment="1">
      <alignment vertical="center"/>
    </xf>
    <xf numFmtId="49" fontId="1" fillId="0" borderId="43" xfId="0" applyNumberFormat="1" applyFont="1" applyBorder="1" applyAlignment="1" applyProtection="1">
      <alignment horizontal="left" vertical="center" wrapText="1"/>
      <protection locked="0"/>
    </xf>
    <xf numFmtId="49" fontId="1" fillId="0" borderId="54" xfId="0" applyNumberFormat="1" applyFont="1" applyBorder="1" applyAlignment="1" applyProtection="1">
      <alignment horizontal="left" vertical="center" wrapText="1"/>
      <protection locked="0"/>
    </xf>
    <xf numFmtId="49" fontId="1" fillId="0" borderId="60" xfId="0" applyNumberFormat="1" applyFont="1" applyBorder="1" applyAlignment="1" applyProtection="1">
      <alignment horizontal="left" vertical="center" wrapText="1"/>
      <protection locked="0"/>
    </xf>
    <xf numFmtId="49" fontId="0" fillId="0" borderId="59" xfId="0" applyNumberFormat="1" applyBorder="1" applyAlignment="1" applyProtection="1">
      <alignment horizontal="left" vertical="center" wrapText="1"/>
      <protection locked="0"/>
    </xf>
    <xf numFmtId="0" fontId="10" fillId="23" borderId="83" xfId="0" applyFont="1" applyFill="1" applyBorder="1" applyAlignment="1">
      <alignment horizontal="right" vertical="center" wrapText="1"/>
    </xf>
    <xf numFmtId="0" fontId="10" fillId="23" borderId="3" xfId="0" applyFont="1" applyFill="1" applyBorder="1" applyAlignment="1">
      <alignment horizontal="right" vertical="center" wrapText="1"/>
    </xf>
    <xf numFmtId="0" fontId="10" fillId="23" borderId="4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13" borderId="43" xfId="0" applyFont="1" applyFill="1" applyBorder="1" applyAlignment="1">
      <alignment horizontal="center" vertical="center"/>
    </xf>
    <xf numFmtId="0" fontId="10" fillId="13" borderId="54" xfId="0" applyFont="1" applyFill="1" applyBorder="1" applyAlignment="1">
      <alignment horizontal="center" vertical="center"/>
    </xf>
    <xf numFmtId="0" fontId="11" fillId="6" borderId="82" xfId="0" applyFont="1" applyFill="1" applyBorder="1" applyAlignment="1">
      <alignment horizontal="center" vertical="center" wrapText="1"/>
    </xf>
    <xf numFmtId="0" fontId="11" fillId="6" borderId="83" xfId="0" applyFont="1" applyFill="1" applyBorder="1" applyAlignment="1">
      <alignment horizontal="center" vertical="center" wrapText="1"/>
    </xf>
    <xf numFmtId="0" fontId="0" fillId="6" borderId="83" xfId="0" applyFill="1" applyBorder="1" applyAlignment="1">
      <alignment wrapText="1"/>
    </xf>
    <xf numFmtId="0" fontId="0" fillId="6" borderId="83" xfId="0" applyFill="1" applyBorder="1"/>
    <xf numFmtId="0" fontId="5" fillId="5" borderId="95" xfId="0" applyFont="1" applyFill="1" applyBorder="1" applyAlignment="1">
      <alignment vertical="center" wrapText="1"/>
    </xf>
    <xf numFmtId="0" fontId="5" fillId="5" borderId="96" xfId="0" applyFont="1" applyFill="1" applyBorder="1" applyAlignment="1">
      <alignment vertical="center" wrapText="1"/>
    </xf>
    <xf numFmtId="0" fontId="5" fillId="5" borderId="97" xfId="0" applyFont="1" applyFill="1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5" borderId="89" xfId="0" applyFill="1" applyBorder="1" applyAlignment="1">
      <alignment vertical="center" wrapText="1"/>
    </xf>
    <xf numFmtId="0" fontId="0" fillId="5" borderId="85" xfId="0" applyFill="1" applyBorder="1" applyAlignment="1">
      <alignment vertical="center" wrapText="1"/>
    </xf>
    <xf numFmtId="0" fontId="6" fillId="9" borderId="27" xfId="0" applyFont="1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5" fillId="23" borderId="3" xfId="0" applyFont="1" applyFill="1" applyBorder="1" applyAlignment="1">
      <alignment horizontal="center" wrapText="1"/>
    </xf>
    <xf numFmtId="0" fontId="5" fillId="23" borderId="46" xfId="0" applyFont="1" applyFill="1" applyBorder="1" applyAlignment="1">
      <alignment horizontal="center" wrapText="1"/>
    </xf>
    <xf numFmtId="0" fontId="5" fillId="3" borderId="6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0" fillId="23" borderId="57" xfId="0" applyFill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5" fillId="6" borderId="9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23" fillId="0" borderId="3" xfId="0" applyFont="1" applyBorder="1" applyAlignment="1" applyProtection="1">
      <alignment horizontal="left"/>
      <protection locked="0"/>
    </xf>
    <xf numFmtId="0" fontId="57" fillId="0" borderId="4" xfId="0" applyFont="1" applyBorder="1" applyAlignment="1" applyProtection="1">
      <alignment horizontal="left"/>
      <protection locked="0"/>
    </xf>
    <xf numFmtId="0" fontId="50" fillId="7" borderId="66" xfId="0" applyFont="1" applyFill="1" applyBorder="1" applyAlignment="1">
      <alignment horizontal="center" vertical="center"/>
    </xf>
    <xf numFmtId="0" fontId="50" fillId="7" borderId="74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5" borderId="9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49" fontId="34" fillId="1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56" fillId="0" borderId="69" xfId="0" applyNumberFormat="1" applyFont="1" applyBorder="1" applyAlignment="1" applyProtection="1">
      <alignment horizontal="left" vertical="center" wrapText="1"/>
      <protection locked="0"/>
    </xf>
    <xf numFmtId="49" fontId="56" fillId="0" borderId="4" xfId="0" applyNumberFormat="1" applyFont="1" applyBorder="1" applyAlignment="1" applyProtection="1">
      <alignment horizontal="left" vertical="center" wrapText="1"/>
      <protection locked="0"/>
    </xf>
    <xf numFmtId="0" fontId="5" fillId="5" borderId="2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2" xfId="0" applyFont="1" applyFill="1" applyBorder="1" applyAlignment="1">
      <alignment vertical="center" wrapText="1"/>
    </xf>
    <xf numFmtId="49" fontId="56" fillId="0" borderId="66" xfId="0" applyNumberFormat="1" applyFont="1" applyBorder="1" applyAlignment="1" applyProtection="1">
      <alignment horizontal="left" vertical="center" wrapText="1"/>
      <protection locked="0"/>
    </xf>
    <xf numFmtId="49" fontId="56" fillId="0" borderId="56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Protection="1">
      <protection locked="0"/>
    </xf>
    <xf numFmtId="0" fontId="5" fillId="0" borderId="8" xfId="0" applyFont="1" applyBorder="1" applyProtection="1">
      <protection locked="0"/>
    </xf>
    <xf numFmtId="49" fontId="34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0" fillId="3" borderId="3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5" fillId="7" borderId="20" xfId="0" applyFont="1" applyFill="1" applyBorder="1" applyAlignment="1">
      <alignment wrapText="1"/>
    </xf>
    <xf numFmtId="0" fontId="0" fillId="7" borderId="21" xfId="0" applyFill="1" applyBorder="1"/>
    <xf numFmtId="0" fontId="0" fillId="7" borderId="77" xfId="0" applyFill="1" applyBorder="1"/>
    <xf numFmtId="0" fontId="1" fillId="0" borderId="4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87" xfId="0" applyBorder="1" applyAlignment="1">
      <alignment vertical="center" wrapText="1"/>
    </xf>
    <xf numFmtId="0" fontId="7" fillId="9" borderId="3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9" borderId="39" xfId="0" applyFont="1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6" fillId="9" borderId="39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49" fontId="0" fillId="5" borderId="95" xfId="0" applyNumberFormat="1" applyFill="1" applyBorder="1" applyAlignment="1">
      <alignment vertical="center" wrapText="1"/>
    </xf>
    <xf numFmtId="49" fontId="0" fillId="5" borderId="85" xfId="0" applyNumberFormat="1" applyFill="1" applyBorder="1" applyAlignment="1">
      <alignment vertical="center" wrapText="1"/>
    </xf>
    <xf numFmtId="0" fontId="5" fillId="15" borderId="10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wrapText="1"/>
    </xf>
    <xf numFmtId="0" fontId="0" fillId="3" borderId="108" xfId="0" applyFill="1" applyBorder="1" applyAlignment="1">
      <alignment wrapText="1"/>
    </xf>
    <xf numFmtId="0" fontId="0" fillId="3" borderId="43" xfId="0" applyFill="1" applyBorder="1" applyAlignment="1">
      <alignment vertical="center"/>
    </xf>
    <xf numFmtId="0" fontId="0" fillId="0" borderId="86" xfId="0" applyBorder="1"/>
    <xf numFmtId="0" fontId="35" fillId="6" borderId="51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6" fillId="3" borderId="26" xfId="0" applyFont="1" applyFill="1" applyBorder="1" applyAlignment="1">
      <alignment horizontal="center" vertical="top" wrapText="1"/>
    </xf>
    <xf numFmtId="0" fontId="36" fillId="3" borderId="50" xfId="0" applyFont="1" applyFill="1" applyBorder="1" applyAlignment="1">
      <alignment horizontal="center" vertical="top" wrapText="1"/>
    </xf>
    <xf numFmtId="0" fontId="36" fillId="3" borderId="52" xfId="0" applyFont="1" applyFill="1" applyBorder="1" applyAlignment="1">
      <alignment horizontal="center" vertical="top" wrapText="1"/>
    </xf>
    <xf numFmtId="4" fontId="35" fillId="9" borderId="39" xfId="0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vertical="center"/>
    </xf>
    <xf numFmtId="0" fontId="0" fillId="0" borderId="46" xfId="0" applyBorder="1"/>
    <xf numFmtId="0" fontId="48" fillId="3" borderId="43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4" xfId="0" applyFont="1" applyFill="1" applyBorder="1" applyAlignment="1">
      <alignment horizontal="center" vertical="center"/>
    </xf>
    <xf numFmtId="0" fontId="0" fillId="6" borderId="107" xfId="0" applyFill="1" applyBorder="1" applyAlignment="1">
      <alignment vertical="center" wrapText="1"/>
    </xf>
    <xf numFmtId="0" fontId="0" fillId="6" borderId="85" xfId="0" applyFill="1" applyBorder="1" applyAlignment="1">
      <alignment vertical="center" wrapText="1"/>
    </xf>
    <xf numFmtId="0" fontId="0" fillId="0" borderId="85" xfId="0" applyBorder="1" applyAlignment="1">
      <alignment vertical="center"/>
    </xf>
    <xf numFmtId="0" fontId="5" fillId="5" borderId="87" xfId="0" applyFont="1" applyFill="1" applyBorder="1" applyAlignment="1">
      <alignment vertical="center" wrapText="1"/>
    </xf>
    <xf numFmtId="0" fontId="0" fillId="9" borderId="51" xfId="0" applyFill="1" applyBorder="1" applyAlignment="1">
      <alignment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vertical="center"/>
    </xf>
    <xf numFmtId="0" fontId="5" fillId="22" borderId="1" xfId="0" applyFont="1" applyFill="1" applyBorder="1" applyAlignment="1">
      <alignment horizontal="right" vertical="center"/>
    </xf>
    <xf numFmtId="0" fontId="0" fillId="22" borderId="1" xfId="0" applyFill="1" applyBorder="1" applyAlignment="1">
      <alignment horizontal="right"/>
    </xf>
    <xf numFmtId="0" fontId="0" fillId="22" borderId="3" xfId="0" applyFill="1" applyBorder="1" applyAlignment="1">
      <alignment horizontal="right"/>
    </xf>
    <xf numFmtId="0" fontId="2" fillId="0" borderId="47" xfId="0" applyFont="1" applyBorder="1" applyAlignment="1">
      <alignment horizontal="center" vertical="center" wrapText="1"/>
    </xf>
    <xf numFmtId="0" fontId="11" fillId="2" borderId="6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4" borderId="69" xfId="0" applyFont="1" applyFill="1" applyBorder="1" applyAlignment="1">
      <alignment horizontal="center" vertical="center"/>
    </xf>
    <xf numFmtId="0" fontId="11" fillId="24" borderId="23" xfId="0" applyFont="1" applyFill="1" applyBorder="1" applyAlignment="1">
      <alignment horizontal="center" vertical="center"/>
    </xf>
    <xf numFmtId="0" fontId="11" fillId="6" borderId="69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 wrapText="1"/>
    </xf>
    <xf numFmtId="0" fontId="11" fillId="15" borderId="46" xfId="0" applyFont="1" applyFill="1" applyBorder="1" applyAlignment="1">
      <alignment horizontal="center" vertical="center" wrapText="1"/>
    </xf>
    <xf numFmtId="0" fontId="0" fillId="15" borderId="46" xfId="0" applyFill="1" applyBorder="1" applyAlignment="1">
      <alignment wrapText="1"/>
    </xf>
    <xf numFmtId="0" fontId="0" fillId="0" borderId="46" xfId="0" applyBorder="1" applyAlignment="1">
      <alignment wrapText="1"/>
    </xf>
    <xf numFmtId="0" fontId="1" fillId="1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9" borderId="19" xfId="0" applyFont="1" applyFill="1" applyBorder="1" applyAlignment="1">
      <alignment vertical="center" wrapText="1"/>
    </xf>
    <xf numFmtId="0" fontId="1" fillId="9" borderId="47" xfId="0" applyFont="1" applyFill="1" applyBorder="1" applyAlignment="1">
      <alignment vertical="center" wrapText="1"/>
    </xf>
    <xf numFmtId="0" fontId="4" fillId="9" borderId="26" xfId="0" applyFont="1" applyFill="1" applyBorder="1"/>
    <xf numFmtId="0" fontId="0" fillId="9" borderId="52" xfId="0" applyFill="1" applyBorder="1"/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vertical="center" wrapText="1"/>
      <protection locked="0"/>
    </xf>
    <xf numFmtId="0" fontId="5" fillId="5" borderId="30" xfId="0" applyFont="1" applyFill="1" applyBorder="1" applyAlignment="1">
      <alignment vertical="center" wrapText="1"/>
    </xf>
    <xf numFmtId="0" fontId="5" fillId="5" borderId="31" xfId="0" applyFont="1" applyFill="1" applyBorder="1" applyAlignment="1">
      <alignment vertical="center" wrapText="1"/>
    </xf>
    <xf numFmtId="0" fontId="5" fillId="5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0" fillId="9" borderId="26" xfId="0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9" borderId="46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3" borderId="2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1" fillId="5" borderId="56" xfId="0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 wrapText="1"/>
    </xf>
    <xf numFmtId="0" fontId="0" fillId="6" borderId="31" xfId="0" applyFill="1" applyBorder="1" applyAlignment="1">
      <alignment wrapText="1"/>
    </xf>
    <xf numFmtId="0" fontId="0" fillId="7" borderId="43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4" xfId="0" applyFill="1" applyBorder="1" applyAlignment="1">
      <alignment vertical="center"/>
    </xf>
    <xf numFmtId="0" fontId="0" fillId="8" borderId="3" xfId="0" applyFill="1" applyBorder="1" applyAlignment="1">
      <alignment wrapText="1"/>
    </xf>
    <xf numFmtId="0" fontId="0" fillId="0" borderId="4" xfId="0" applyBorder="1"/>
    <xf numFmtId="0" fontId="0" fillId="8" borderId="1" xfId="0" applyFill="1" applyBorder="1" applyAlignment="1">
      <alignment wrapText="1"/>
    </xf>
    <xf numFmtId="0" fontId="0" fillId="0" borderId="1" xfId="0" applyBorder="1"/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" fillId="0" borderId="46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34F88-7288-41A1-9B40-A37F08454802}">
  <sheetPr>
    <tabColor rgb="FFFF0000"/>
  </sheetPr>
  <dimension ref="A1:V18"/>
  <sheetViews>
    <sheetView tabSelected="1" zoomScale="120" zoomScaleNormal="120" workbookViewId="0">
      <selection activeCell="C2" sqref="C2"/>
    </sheetView>
  </sheetViews>
  <sheetFormatPr defaultRowHeight="14.5" x14ac:dyDescent="0.35"/>
  <cols>
    <col min="1" max="1" width="3.26953125" customWidth="1"/>
    <col min="2" max="2" width="22.54296875" customWidth="1"/>
    <col min="3" max="3" width="11.81640625" customWidth="1"/>
    <col min="4" max="4" width="18.54296875" customWidth="1"/>
    <col min="5" max="5" width="13.54296875" customWidth="1"/>
    <col min="6" max="6" width="19.1796875" customWidth="1"/>
    <col min="7" max="7" width="13.1796875" customWidth="1"/>
    <col min="8" max="8" width="4.7265625" customWidth="1"/>
    <col min="9" max="11" width="4.7265625" hidden="1" customWidth="1"/>
    <col min="12" max="12" width="14.453125" hidden="1" customWidth="1"/>
    <col min="13" max="13" width="22" hidden="1" customWidth="1"/>
    <col min="14" max="20" width="4.7265625" hidden="1" customWidth="1"/>
    <col min="21" max="21" width="2.7265625" hidden="1" customWidth="1"/>
    <col min="22" max="22" width="8.7265625" hidden="1" customWidth="1"/>
    <col min="23" max="23" width="8.7265625" customWidth="1"/>
  </cols>
  <sheetData>
    <row r="1" spans="1:21" ht="19.5" customHeight="1" x14ac:dyDescent="0.35">
      <c r="A1" s="577"/>
      <c r="B1" s="714" t="s">
        <v>243</v>
      </c>
      <c r="C1" s="714"/>
      <c r="D1" s="714"/>
      <c r="E1" s="714"/>
      <c r="F1" s="714"/>
      <c r="G1" s="714"/>
      <c r="H1" s="578"/>
      <c r="I1" s="578"/>
      <c r="J1" s="578"/>
      <c r="K1" s="578"/>
      <c r="L1" s="578" t="s">
        <v>0</v>
      </c>
      <c r="M1" s="578"/>
      <c r="N1" s="578"/>
      <c r="O1" s="578"/>
      <c r="P1" s="578"/>
      <c r="Q1" s="578"/>
      <c r="R1" s="578">
        <v>0</v>
      </c>
      <c r="S1" s="578"/>
      <c r="T1" s="578"/>
      <c r="U1" s="579"/>
    </row>
    <row r="2" spans="1:21" ht="16" customHeight="1" x14ac:dyDescent="0.35">
      <c r="A2" s="580"/>
      <c r="B2" s="33" t="s">
        <v>1</v>
      </c>
      <c r="C2" s="54">
        <v>12345678</v>
      </c>
      <c r="D2" s="33" t="s">
        <v>2</v>
      </c>
      <c r="E2" s="725" t="s">
        <v>259</v>
      </c>
      <c r="F2" s="725"/>
      <c r="G2" s="726"/>
      <c r="H2" s="581"/>
      <c r="I2" s="581"/>
      <c r="J2" s="581" t="s">
        <v>3</v>
      </c>
      <c r="K2" s="581" t="s">
        <v>4</v>
      </c>
      <c r="L2" s="581" t="s">
        <v>5</v>
      </c>
      <c r="M2" s="581" t="s">
        <v>6</v>
      </c>
      <c r="N2" s="581"/>
      <c r="O2" s="581"/>
      <c r="P2" s="581" t="s">
        <v>7</v>
      </c>
      <c r="Q2" s="581"/>
      <c r="R2" s="581">
        <v>1</v>
      </c>
      <c r="S2" s="581"/>
      <c r="T2" s="581"/>
      <c r="U2" s="582"/>
    </row>
    <row r="3" spans="1:21" ht="16" customHeight="1" x14ac:dyDescent="0.35">
      <c r="A3" s="580"/>
      <c r="B3" s="33" t="s">
        <v>8</v>
      </c>
      <c r="C3" s="55">
        <v>1</v>
      </c>
      <c r="D3" s="33" t="s">
        <v>9</v>
      </c>
      <c r="E3" s="58" t="s">
        <v>6</v>
      </c>
      <c r="F3" s="216"/>
      <c r="G3" s="217"/>
      <c r="H3" s="581"/>
      <c r="I3" s="581"/>
      <c r="J3" s="581" t="s">
        <v>10</v>
      </c>
      <c r="K3" s="581" t="s">
        <v>5</v>
      </c>
      <c r="L3" s="581" t="s">
        <v>4</v>
      </c>
      <c r="M3" s="581" t="s">
        <v>11</v>
      </c>
      <c r="N3" s="581"/>
      <c r="O3" s="581"/>
      <c r="P3" s="581" t="s">
        <v>12</v>
      </c>
      <c r="Q3" s="581"/>
      <c r="R3" s="581">
        <v>2</v>
      </c>
      <c r="S3" s="581"/>
      <c r="T3" s="581"/>
      <c r="U3" s="582"/>
    </row>
    <row r="4" spans="1:21" ht="16" customHeight="1" x14ac:dyDescent="0.35">
      <c r="A4" s="580"/>
      <c r="B4" s="33" t="s">
        <v>13</v>
      </c>
      <c r="C4" s="55"/>
      <c r="D4" s="33" t="s">
        <v>14</v>
      </c>
      <c r="E4" s="55">
        <v>1</v>
      </c>
      <c r="F4" s="721"/>
      <c r="G4" s="722"/>
      <c r="H4" s="581"/>
      <c r="I4" s="581"/>
      <c r="J4" s="581"/>
      <c r="K4" s="581" t="s">
        <v>15</v>
      </c>
      <c r="L4" s="581" t="s">
        <v>16</v>
      </c>
      <c r="M4" s="581" t="s">
        <v>17</v>
      </c>
      <c r="N4" s="581"/>
      <c r="O4" s="581"/>
      <c r="P4" s="581"/>
      <c r="Q4" s="581"/>
      <c r="R4" s="581">
        <v>3</v>
      </c>
      <c r="S4" s="581"/>
      <c r="T4" s="581"/>
      <c r="U4" s="582"/>
    </row>
    <row r="5" spans="1:21" ht="22.5" customHeight="1" x14ac:dyDescent="0.35">
      <c r="A5" s="580"/>
      <c r="B5" s="33" t="s">
        <v>18</v>
      </c>
      <c r="C5" s="90" t="s">
        <v>15</v>
      </c>
      <c r="D5" s="33" t="s">
        <v>19</v>
      </c>
      <c r="E5" s="54">
        <v>4</v>
      </c>
      <c r="F5" s="723"/>
      <c r="G5" s="724"/>
      <c r="H5" s="581"/>
      <c r="I5" s="581"/>
      <c r="J5" s="581"/>
      <c r="K5" s="581" t="s">
        <v>20</v>
      </c>
      <c r="L5" s="581"/>
      <c r="M5" s="581"/>
      <c r="N5" s="581">
        <f>C3*10000/(C6*C7)</f>
        <v>833.33333333333337</v>
      </c>
      <c r="O5" s="581"/>
      <c r="P5" s="581"/>
      <c r="Q5" s="581"/>
      <c r="R5" s="581">
        <v>4</v>
      </c>
      <c r="S5" s="581"/>
      <c r="T5" s="581"/>
      <c r="U5" s="582"/>
    </row>
    <row r="6" spans="1:21" ht="16" customHeight="1" x14ac:dyDescent="0.35">
      <c r="A6" s="580"/>
      <c r="B6" s="33" t="s">
        <v>21</v>
      </c>
      <c r="C6" s="56">
        <v>2.5</v>
      </c>
      <c r="D6" s="33" t="s">
        <v>22</v>
      </c>
      <c r="E6" s="56">
        <v>1.25</v>
      </c>
      <c r="F6" s="33" t="s">
        <v>23</v>
      </c>
      <c r="G6" s="218">
        <f>IF(C3=0,0,(C3*10000/(C6*E6)))</f>
        <v>3200</v>
      </c>
      <c r="H6" s="581"/>
      <c r="I6" s="581"/>
      <c r="J6" s="581"/>
      <c r="K6" s="581" t="s">
        <v>24</v>
      </c>
      <c r="L6" s="581"/>
      <c r="M6" s="581"/>
      <c r="N6" s="581"/>
      <c r="O6" s="581"/>
      <c r="P6" s="581"/>
      <c r="Q6" s="581"/>
      <c r="R6" s="581">
        <v>5</v>
      </c>
      <c r="S6" s="581"/>
      <c r="T6" s="581"/>
      <c r="U6" s="582"/>
    </row>
    <row r="7" spans="1:21" ht="16" customHeight="1" x14ac:dyDescent="0.35">
      <c r="A7" s="580"/>
      <c r="B7" s="33" t="s">
        <v>25</v>
      </c>
      <c r="C7" s="56">
        <v>4.8</v>
      </c>
      <c r="D7" s="33" t="s">
        <v>26</v>
      </c>
      <c r="E7" s="54">
        <v>30</v>
      </c>
      <c r="F7" s="33" t="s">
        <v>27</v>
      </c>
      <c r="G7" s="59" t="s">
        <v>7</v>
      </c>
      <c r="H7" s="581"/>
      <c r="I7" s="581"/>
      <c r="J7" s="167"/>
      <c r="K7" s="581" t="s">
        <v>28</v>
      </c>
      <c r="L7" s="581"/>
      <c r="M7" s="581"/>
      <c r="N7" s="581"/>
      <c r="O7" s="581"/>
      <c r="P7" s="581"/>
      <c r="Q7" s="581"/>
      <c r="R7" s="581">
        <v>6</v>
      </c>
      <c r="S7" s="581"/>
      <c r="T7" s="581"/>
      <c r="U7" s="582"/>
    </row>
    <row r="8" spans="1:21" ht="16" customHeight="1" x14ac:dyDescent="0.35">
      <c r="A8" s="580"/>
      <c r="B8" s="34" t="s">
        <v>29</v>
      </c>
      <c r="C8" s="54">
        <v>0.6</v>
      </c>
      <c r="D8" s="35"/>
      <c r="E8" s="33" t="s">
        <v>30</v>
      </c>
      <c r="F8" s="33"/>
      <c r="G8" s="54" t="s">
        <v>16</v>
      </c>
      <c r="H8" s="581"/>
      <c r="I8" s="581"/>
      <c r="J8" s="581"/>
      <c r="K8" s="581" t="s">
        <v>16</v>
      </c>
      <c r="L8" s="581"/>
      <c r="M8" s="581"/>
      <c r="N8" s="581"/>
      <c r="O8" s="581"/>
      <c r="P8" s="581"/>
      <c r="Q8" s="581"/>
      <c r="R8" s="581"/>
      <c r="S8" s="581"/>
      <c r="T8" s="581"/>
      <c r="U8" s="582"/>
    </row>
    <row r="9" spans="1:21" ht="25.5" customHeight="1" x14ac:dyDescent="0.35">
      <c r="A9" s="580"/>
      <c r="B9" s="219" t="s">
        <v>31</v>
      </c>
      <c r="C9" s="57" t="s">
        <v>32</v>
      </c>
      <c r="D9" s="719" t="s">
        <v>33</v>
      </c>
      <c r="E9" s="720"/>
      <c r="F9" s="570" t="s">
        <v>34</v>
      </c>
      <c r="G9" s="220"/>
      <c r="H9" s="581"/>
      <c r="I9" s="581"/>
      <c r="J9" s="167"/>
      <c r="K9" s="581" t="s">
        <v>35</v>
      </c>
      <c r="L9" s="167"/>
      <c r="M9" s="581" t="s">
        <v>32</v>
      </c>
      <c r="N9" s="581"/>
      <c r="O9" s="581"/>
      <c r="P9" s="581"/>
      <c r="Q9" s="581"/>
      <c r="R9" s="581">
        <f>E5-1</f>
        <v>3</v>
      </c>
      <c r="S9" s="581"/>
      <c r="T9" s="581"/>
      <c r="U9" s="582"/>
    </row>
    <row r="10" spans="1:21" ht="30.5" customHeight="1" thickBot="1" x14ac:dyDescent="0.4">
      <c r="A10" s="580"/>
      <c r="B10" s="727" t="s">
        <v>263</v>
      </c>
      <c r="C10" s="728"/>
      <c r="D10" s="729" t="s">
        <v>264</v>
      </c>
      <c r="E10" s="730"/>
      <c r="F10" s="730"/>
      <c r="G10" s="731"/>
      <c r="H10" s="581"/>
      <c r="I10" s="581"/>
      <c r="J10" s="167"/>
      <c r="K10" s="581"/>
      <c r="L10" s="167"/>
      <c r="M10" s="581" t="s">
        <v>39</v>
      </c>
      <c r="N10" s="581"/>
      <c r="O10" s="581"/>
      <c r="P10" s="581"/>
      <c r="Q10" s="581"/>
      <c r="R10" s="581"/>
      <c r="S10" s="581"/>
      <c r="T10" s="581"/>
      <c r="U10" s="582"/>
    </row>
    <row r="11" spans="1:21" ht="37" customHeight="1" thickBot="1" x14ac:dyDescent="0.4">
      <c r="A11" s="580"/>
      <c r="B11" s="572" t="s">
        <v>36</v>
      </c>
      <c r="C11" s="573">
        <v>0</v>
      </c>
      <c r="D11" s="574" t="s">
        <v>37</v>
      </c>
      <c r="E11" s="575">
        <v>0</v>
      </c>
      <c r="F11" s="574" t="s">
        <v>38</v>
      </c>
      <c r="G11" s="576">
        <v>0</v>
      </c>
      <c r="H11" s="581"/>
      <c r="I11" s="581"/>
      <c r="J11" t="s">
        <v>264</v>
      </c>
      <c r="U11" s="582"/>
    </row>
    <row r="12" spans="1:21" ht="16.5" customHeight="1" x14ac:dyDescent="0.35">
      <c r="A12" s="580"/>
      <c r="B12" s="715" t="s">
        <v>40</v>
      </c>
      <c r="C12" s="716"/>
      <c r="D12" s="716"/>
      <c r="E12" s="717"/>
      <c r="F12" s="718"/>
      <c r="G12" s="571"/>
      <c r="H12" s="581"/>
      <c r="I12" s="581"/>
      <c r="J12" t="s">
        <v>265</v>
      </c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2"/>
    </row>
    <row r="13" spans="1:21" ht="18.649999999999999" customHeight="1" x14ac:dyDescent="0.35">
      <c r="A13" s="636"/>
      <c r="B13" s="637" t="s">
        <v>41</v>
      </c>
      <c r="C13" s="638"/>
      <c r="D13" s="638"/>
      <c r="E13" s="638"/>
      <c r="F13" s="638"/>
      <c r="G13" s="638"/>
      <c r="H13" s="638"/>
      <c r="I13" s="638"/>
      <c r="J13" t="s">
        <v>35</v>
      </c>
      <c r="K13" s="638"/>
      <c r="L13" s="638"/>
      <c r="M13" s="638"/>
      <c r="N13" s="638"/>
      <c r="O13" s="638"/>
      <c r="P13" s="638"/>
      <c r="Q13" s="638"/>
      <c r="R13" s="638"/>
      <c r="S13" s="638"/>
      <c r="T13" s="638"/>
      <c r="U13" s="639"/>
    </row>
    <row r="14" spans="1:21" ht="20.149999999999999" customHeight="1" x14ac:dyDescent="0.35">
      <c r="A14" s="583"/>
      <c r="G14" s="323" t="str">
        <f>Calcoli!J27</f>
        <v>AM_Ver_SR04_2023</v>
      </c>
      <c r="K14" t="s">
        <v>34</v>
      </c>
      <c r="U14" s="513"/>
    </row>
    <row r="15" spans="1:21" x14ac:dyDescent="0.35">
      <c r="A15" s="583"/>
      <c r="K15" t="s">
        <v>42</v>
      </c>
      <c r="U15" s="513"/>
    </row>
    <row r="16" spans="1:21" x14ac:dyDescent="0.35">
      <c r="A16" s="583"/>
      <c r="K16" s="221" t="s">
        <v>44</v>
      </c>
      <c r="U16" s="513"/>
    </row>
    <row r="17" spans="1:21" x14ac:dyDescent="0.35">
      <c r="A17" s="583"/>
      <c r="K17" t="s">
        <v>35</v>
      </c>
      <c r="U17" s="513"/>
    </row>
    <row r="18" spans="1:21" x14ac:dyDescent="0.35">
      <c r="A18" s="514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15"/>
    </row>
  </sheetData>
  <sheetProtection algorithmName="SHA-512" hashValue="lveEwZAg6UsyvbvRZJkmjcNHpTUp9mwWa7W0kTJt5dIhCPLlhsdQJCU3T0pItMGG0rvB0I2+XYhWVcZpGW9hFA==" saltValue="tIt26kRH3IWlcAmqQOZC6w==" spinCount="100000" sheet="1" objects="1" scenarios="1"/>
  <mergeCells count="8">
    <mergeCell ref="B1:G1"/>
    <mergeCell ref="B12:D12"/>
    <mergeCell ref="E12:F12"/>
    <mergeCell ref="D9:E9"/>
    <mergeCell ref="F4:G5"/>
    <mergeCell ref="E2:G2"/>
    <mergeCell ref="B10:C10"/>
    <mergeCell ref="D10:G10"/>
  </mergeCells>
  <dataValidations count="8">
    <dataValidation type="list" allowBlank="1" showInputMessage="1" showErrorMessage="1" sqref="G8" xr:uid="{A250A652-ACFE-48DB-83C9-0876E6662DD2}">
      <formula1>$L$1:$L$4</formula1>
    </dataValidation>
    <dataValidation type="list" allowBlank="1" showInputMessage="1" showErrorMessage="1" sqref="G7" xr:uid="{BB6369C6-002A-492B-9580-A6432B661289}">
      <formula1>$P$2:$P$3</formula1>
    </dataValidation>
    <dataValidation type="list" allowBlank="1" showInputMessage="1" showErrorMessage="1" sqref="E3" xr:uid="{FE28287D-3791-4732-BD59-ABAD6E8ABE3F}">
      <formula1>$M$2:$M$4</formula1>
    </dataValidation>
    <dataValidation type="list" allowBlank="1" showInputMessage="1" showErrorMessage="1" sqref="C5" xr:uid="{23F7EC8F-D039-4395-B4DF-D61AFA32DE64}">
      <formula1>$K$2:$K$9</formula1>
    </dataValidation>
    <dataValidation type="list" allowBlank="1" showInputMessage="1" showErrorMessage="1" sqref="E5" xr:uid="{86CFF6F2-1ABA-4C3E-991F-22B03A4664A5}">
      <formula1>$R$1:$R$7</formula1>
    </dataValidation>
    <dataValidation type="list" allowBlank="1" showInputMessage="1" showErrorMessage="1" sqref="C9" xr:uid="{1AFF0017-C4A6-4F8B-A69A-AD4A1B10EB18}">
      <formula1>$M$9:$M$10</formula1>
    </dataValidation>
    <dataValidation type="list" allowBlank="1" showInputMessage="1" showErrorMessage="1" sqref="F9" xr:uid="{5D9594F8-2CA7-466E-A2DA-656B524C1971}">
      <formula1>$K$14:$K$17</formula1>
    </dataValidation>
    <dataValidation type="list" allowBlank="1" showInputMessage="1" showErrorMessage="1" sqref="D10:G10" xr:uid="{B9E5A8C5-AF5B-46E9-A755-5303FD17F0DD}">
      <formula1>$J$11:$J$13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41701-9F3D-468B-A718-E8E35EFD4391}">
  <sheetPr>
    <tabColor theme="9" tint="-0.249977111117893"/>
  </sheetPr>
  <dimension ref="A1:U17"/>
  <sheetViews>
    <sheetView zoomScaleNormal="100" workbookViewId="0">
      <selection activeCell="D10" sqref="D10:G10"/>
    </sheetView>
  </sheetViews>
  <sheetFormatPr defaultRowHeight="14.5" x14ac:dyDescent="0.35"/>
  <cols>
    <col min="1" max="1" width="3.54296875" customWidth="1"/>
    <col min="2" max="2" width="22.1796875" customWidth="1"/>
    <col min="3" max="3" width="11.7265625" customWidth="1"/>
    <col min="4" max="4" width="18.54296875" customWidth="1"/>
    <col min="5" max="5" width="13.54296875" customWidth="1"/>
    <col min="6" max="6" width="19.1796875" customWidth="1"/>
    <col min="7" max="7" width="12.6328125" customWidth="1"/>
    <col min="8" max="8" width="6.453125" customWidth="1"/>
    <col min="9" max="20" width="9.36328125" hidden="1" customWidth="1"/>
    <col min="21" max="21" width="7.1796875" hidden="1" customWidth="1"/>
  </cols>
  <sheetData>
    <row r="1" spans="1:20" ht="20.5" customHeight="1" x14ac:dyDescent="0.35">
      <c r="A1" s="627"/>
      <c r="B1" s="732" t="s">
        <v>244</v>
      </c>
      <c r="C1" s="732"/>
      <c r="D1" s="732"/>
      <c r="E1" s="732"/>
      <c r="F1" s="732"/>
      <c r="G1" s="732"/>
      <c r="H1" s="628"/>
      <c r="I1" s="510"/>
      <c r="J1" s="510"/>
      <c r="K1" s="510"/>
      <c r="L1" s="510" t="s">
        <v>0</v>
      </c>
      <c r="M1" s="510"/>
      <c r="N1" s="510"/>
      <c r="O1" s="510"/>
      <c r="P1" s="510"/>
      <c r="Q1" s="510"/>
      <c r="R1" s="510">
        <v>0</v>
      </c>
      <c r="S1" s="510"/>
      <c r="T1" s="510"/>
    </row>
    <row r="2" spans="1:20" ht="16" customHeight="1" x14ac:dyDescent="0.35">
      <c r="A2" s="629"/>
      <c r="B2" s="33" t="s">
        <v>1</v>
      </c>
      <c r="C2" s="312">
        <f>Descrizione!C2</f>
        <v>12345678</v>
      </c>
      <c r="D2" s="33" t="s">
        <v>2</v>
      </c>
      <c r="E2" s="725"/>
      <c r="F2" s="725"/>
      <c r="G2" s="726"/>
      <c r="H2" s="630"/>
      <c r="I2" s="510"/>
      <c r="J2" s="510" t="s">
        <v>3</v>
      </c>
      <c r="K2" s="510" t="s">
        <v>4</v>
      </c>
      <c r="L2" s="510" t="s">
        <v>5</v>
      </c>
      <c r="M2" s="510" t="s">
        <v>6</v>
      </c>
      <c r="N2" s="510"/>
      <c r="O2" s="510"/>
      <c r="P2" s="510" t="s">
        <v>7</v>
      </c>
      <c r="Q2" s="510"/>
      <c r="R2" s="510">
        <v>1</v>
      </c>
      <c r="S2" s="510"/>
      <c r="T2" s="510"/>
    </row>
    <row r="3" spans="1:20" ht="16" customHeight="1" x14ac:dyDescent="0.35">
      <c r="A3" s="629"/>
      <c r="B3" s="33" t="s">
        <v>8</v>
      </c>
      <c r="C3" s="55">
        <v>0</v>
      </c>
      <c r="D3" s="33" t="s">
        <v>9</v>
      </c>
      <c r="E3" s="58" t="s">
        <v>6</v>
      </c>
      <c r="F3" s="216"/>
      <c r="G3" s="217"/>
      <c r="H3" s="630"/>
      <c r="I3" s="510"/>
      <c r="J3" s="510" t="s">
        <v>10</v>
      </c>
      <c r="K3" s="510" t="s">
        <v>5</v>
      </c>
      <c r="L3" s="510" t="s">
        <v>4</v>
      </c>
      <c r="M3" s="510" t="s">
        <v>11</v>
      </c>
      <c r="N3" s="510"/>
      <c r="O3" s="510"/>
      <c r="P3" s="510" t="s">
        <v>12</v>
      </c>
      <c r="Q3" s="510"/>
      <c r="R3" s="510">
        <v>2</v>
      </c>
      <c r="S3" s="510"/>
      <c r="T3" s="510"/>
    </row>
    <row r="4" spans="1:20" ht="16" customHeight="1" x14ac:dyDescent="0.35">
      <c r="A4" s="629"/>
      <c r="B4" s="33" t="s">
        <v>13</v>
      </c>
      <c r="C4" s="55">
        <v>0</v>
      </c>
      <c r="D4" s="33" t="s">
        <v>14</v>
      </c>
      <c r="E4" s="55">
        <v>0</v>
      </c>
      <c r="F4" s="721"/>
      <c r="G4" s="722"/>
      <c r="H4" s="630"/>
      <c r="I4" s="510"/>
      <c r="J4" s="510"/>
      <c r="K4" s="510" t="s">
        <v>15</v>
      </c>
      <c r="L4" s="510" t="s">
        <v>16</v>
      </c>
      <c r="M4" s="510" t="s">
        <v>17</v>
      </c>
      <c r="N4" s="510"/>
      <c r="O4" s="510"/>
      <c r="P4" s="510"/>
      <c r="Q4" s="510"/>
      <c r="R4" s="510">
        <v>3</v>
      </c>
      <c r="S4" s="510"/>
      <c r="T4" s="510"/>
    </row>
    <row r="5" spans="1:20" ht="22.5" customHeight="1" x14ac:dyDescent="0.35">
      <c r="A5" s="629"/>
      <c r="B5" s="33" t="s">
        <v>18</v>
      </c>
      <c r="C5" s="90" t="s">
        <v>15</v>
      </c>
      <c r="D5" s="33" t="s">
        <v>19</v>
      </c>
      <c r="E5" s="54">
        <v>3</v>
      </c>
      <c r="F5" s="723"/>
      <c r="G5" s="724"/>
      <c r="H5" s="630"/>
      <c r="I5" s="510"/>
      <c r="J5" s="510"/>
      <c r="K5" s="510" t="s">
        <v>20</v>
      </c>
      <c r="L5" s="510"/>
      <c r="M5" s="510"/>
      <c r="N5" s="510">
        <f>C3*10000/(C6*C7)</f>
        <v>0</v>
      </c>
      <c r="O5" s="510"/>
      <c r="P5" s="510"/>
      <c r="Q5" s="510"/>
      <c r="R5" s="510">
        <v>4</v>
      </c>
      <c r="S5" s="510"/>
      <c r="T5" s="510"/>
    </row>
    <row r="6" spans="1:20" ht="16" customHeight="1" x14ac:dyDescent="0.35">
      <c r="A6" s="629"/>
      <c r="B6" s="33" t="s">
        <v>21</v>
      </c>
      <c r="C6" s="56">
        <v>3</v>
      </c>
      <c r="D6" s="33" t="s">
        <v>22</v>
      </c>
      <c r="E6" s="56">
        <v>1.5</v>
      </c>
      <c r="F6" s="33" t="s">
        <v>23</v>
      </c>
      <c r="G6" s="218">
        <f>IF(C3=0,0,(C3*10000/(C6*E6)))</f>
        <v>0</v>
      </c>
      <c r="H6" s="630"/>
      <c r="I6" s="510"/>
      <c r="J6" s="510"/>
      <c r="K6" s="510" t="s">
        <v>24</v>
      </c>
      <c r="L6" s="510"/>
      <c r="M6" s="510"/>
      <c r="N6" s="510"/>
      <c r="O6" s="510"/>
      <c r="P6" s="510"/>
      <c r="Q6" s="510"/>
      <c r="R6" s="510">
        <v>5</v>
      </c>
      <c r="S6" s="510"/>
      <c r="T6" s="510"/>
    </row>
    <row r="7" spans="1:20" ht="16" customHeight="1" x14ac:dyDescent="0.35">
      <c r="A7" s="629"/>
      <c r="B7" s="33" t="s">
        <v>25</v>
      </c>
      <c r="C7" s="56">
        <v>5</v>
      </c>
      <c r="D7" s="33" t="s">
        <v>26</v>
      </c>
      <c r="E7" s="54">
        <v>0</v>
      </c>
      <c r="F7" s="33" t="s">
        <v>27</v>
      </c>
      <c r="G7" s="59" t="s">
        <v>7</v>
      </c>
      <c r="H7" s="630"/>
      <c r="I7" s="510"/>
      <c r="J7" s="511">
        <f>C3*10000/(C6*C7)</f>
        <v>0</v>
      </c>
      <c r="K7" s="510" t="s">
        <v>28</v>
      </c>
      <c r="L7" s="510"/>
      <c r="M7" s="510"/>
      <c r="N7" s="510"/>
      <c r="O7" s="510"/>
      <c r="P7" s="510"/>
      <c r="Q7" s="510"/>
      <c r="R7" s="510">
        <v>6</v>
      </c>
      <c r="S7" s="510"/>
      <c r="T7" s="510"/>
    </row>
    <row r="8" spans="1:20" ht="17.5" customHeight="1" x14ac:dyDescent="0.35">
      <c r="A8" s="629"/>
      <c r="B8" s="34" t="s">
        <v>45</v>
      </c>
      <c r="C8" s="54">
        <v>0</v>
      </c>
      <c r="D8" s="35"/>
      <c r="E8" s="33" t="s">
        <v>30</v>
      </c>
      <c r="F8" s="33"/>
      <c r="G8" s="54" t="s">
        <v>5</v>
      </c>
      <c r="H8" s="630"/>
      <c r="I8" s="510"/>
      <c r="J8" s="510"/>
      <c r="K8" s="510" t="s">
        <v>16</v>
      </c>
      <c r="L8" s="510"/>
      <c r="M8" s="510"/>
      <c r="N8" s="510"/>
      <c r="O8" s="510"/>
      <c r="P8" s="510"/>
      <c r="Q8" s="510"/>
      <c r="R8" s="510"/>
      <c r="S8" s="510"/>
      <c r="T8" s="510"/>
    </row>
    <row r="9" spans="1:20" ht="18.5" customHeight="1" x14ac:dyDescent="0.35">
      <c r="A9" s="629"/>
      <c r="B9" s="219" t="s">
        <v>31</v>
      </c>
      <c r="C9" s="57" t="s">
        <v>32</v>
      </c>
      <c r="D9" s="719" t="s">
        <v>33</v>
      </c>
      <c r="E9" s="720"/>
      <c r="F9" s="570" t="s">
        <v>34</v>
      </c>
      <c r="G9" s="220"/>
      <c r="H9" s="630"/>
      <c r="I9" s="510"/>
      <c r="J9" s="511"/>
      <c r="K9" s="510" t="s">
        <v>35</v>
      </c>
      <c r="L9" s="511">
        <f>G6*E6</f>
        <v>0</v>
      </c>
      <c r="M9" s="510" t="s">
        <v>32</v>
      </c>
      <c r="N9" s="510"/>
      <c r="O9" s="510"/>
      <c r="P9" s="510"/>
      <c r="Q9" s="510"/>
      <c r="R9" s="510">
        <f>E5-1</f>
        <v>2</v>
      </c>
      <c r="S9" s="510"/>
      <c r="T9" s="510"/>
    </row>
    <row r="10" spans="1:20" ht="30" customHeight="1" thickBot="1" x14ac:dyDescent="0.4">
      <c r="A10" s="629"/>
      <c r="B10" s="727" t="s">
        <v>263</v>
      </c>
      <c r="C10" s="728"/>
      <c r="D10" s="735" t="s">
        <v>266</v>
      </c>
      <c r="E10" s="736"/>
      <c r="F10" s="736"/>
      <c r="G10" s="737"/>
      <c r="H10" s="630"/>
      <c r="I10" s="510"/>
      <c r="J10" s="511"/>
      <c r="K10" s="510"/>
      <c r="L10" s="511"/>
      <c r="M10" s="510" t="s">
        <v>39</v>
      </c>
      <c r="N10" s="510"/>
      <c r="O10" s="510"/>
      <c r="P10" s="510"/>
      <c r="Q10" s="510"/>
      <c r="R10" s="510"/>
      <c r="S10" s="510"/>
      <c r="T10" s="510"/>
    </row>
    <row r="11" spans="1:20" ht="41" customHeight="1" thickBot="1" x14ac:dyDescent="0.4">
      <c r="A11" s="629"/>
      <c r="B11" s="572" t="s">
        <v>36</v>
      </c>
      <c r="C11" s="573">
        <v>0</v>
      </c>
      <c r="D11" s="574" t="s">
        <v>37</v>
      </c>
      <c r="E11" s="575">
        <v>0</v>
      </c>
      <c r="F11" s="574" t="s">
        <v>38</v>
      </c>
      <c r="G11" s="576">
        <v>0</v>
      </c>
      <c r="H11" s="630"/>
      <c r="I11" s="510" t="e">
        <f>C11*10000/(E11*G11)</f>
        <v>#DIV/0!</v>
      </c>
      <c r="J11" s="512">
        <f>IF(C11&gt;0,I11,K11)</f>
        <v>0</v>
      </c>
      <c r="K11" s="510"/>
      <c r="L11" s="510"/>
      <c r="M11" s="510" t="s">
        <v>266</v>
      </c>
      <c r="N11" s="510"/>
      <c r="O11" s="510"/>
      <c r="P11" s="510"/>
      <c r="Q11" s="510"/>
      <c r="R11" s="510"/>
      <c r="S11" s="510"/>
      <c r="T11" s="510"/>
    </row>
    <row r="12" spans="1:20" ht="16.5" customHeight="1" x14ac:dyDescent="0.35">
      <c r="A12" s="629"/>
      <c r="B12" s="733" t="s">
        <v>46</v>
      </c>
      <c r="C12" s="734"/>
      <c r="D12" s="734"/>
      <c r="E12" s="717"/>
      <c r="F12" s="718"/>
      <c r="G12" s="571"/>
      <c r="H12" s="630"/>
      <c r="I12" s="510"/>
      <c r="J12" s="511"/>
      <c r="K12" s="510"/>
      <c r="L12" s="510"/>
      <c r="M12" s="510" t="s">
        <v>265</v>
      </c>
      <c r="N12" s="510"/>
      <c r="O12" s="510"/>
      <c r="P12" s="510"/>
      <c r="Q12" s="510"/>
      <c r="R12" s="510"/>
      <c r="S12" s="510"/>
      <c r="T12" s="510"/>
    </row>
    <row r="13" spans="1:20" ht="17.5" customHeight="1" x14ac:dyDescent="0.35">
      <c r="A13" s="631"/>
      <c r="B13" s="632" t="s">
        <v>41</v>
      </c>
      <c r="C13" s="633"/>
      <c r="D13" s="633"/>
      <c r="E13" s="633"/>
      <c r="F13" s="633"/>
      <c r="G13" s="633"/>
      <c r="H13" s="634"/>
      <c r="I13" s="510"/>
      <c r="J13" s="510"/>
      <c r="K13" s="510"/>
      <c r="L13" s="510"/>
      <c r="M13" s="672" t="s">
        <v>35</v>
      </c>
      <c r="N13" s="510"/>
      <c r="O13" s="510"/>
      <c r="P13" s="510"/>
      <c r="Q13" s="510"/>
      <c r="R13" s="510"/>
      <c r="S13" s="510"/>
      <c r="T13" s="510"/>
    </row>
    <row r="14" spans="1:20" x14ac:dyDescent="0.35">
      <c r="G14" s="323" t="str">
        <f>Calcoli!J27</f>
        <v>AM_Ver_SR04_2023</v>
      </c>
      <c r="K14" t="s">
        <v>34</v>
      </c>
    </row>
    <row r="15" spans="1:20" x14ac:dyDescent="0.35">
      <c r="K15" t="s">
        <v>42</v>
      </c>
    </row>
    <row r="16" spans="1:20" x14ac:dyDescent="0.35">
      <c r="K16" s="221" t="s">
        <v>44</v>
      </c>
    </row>
    <row r="17" spans="11:11" x14ac:dyDescent="0.35">
      <c r="K17" t="s">
        <v>35</v>
      </c>
    </row>
  </sheetData>
  <sheetProtection algorithmName="SHA-512" hashValue="eUaaWRjP5Tkc+SGPhCH1Wvi3UKdaTe3iqb7orrkzAj5mtv3jsG9DFCwZbOmact2EDglqS8aINRTnyeiwJI9oYw==" saltValue="kJP3zuLbsDv6IKRRLinePQ==" spinCount="100000" sheet="1" objects="1" scenarios="1"/>
  <mergeCells count="8">
    <mergeCell ref="B1:G1"/>
    <mergeCell ref="E2:G2"/>
    <mergeCell ref="F4:G5"/>
    <mergeCell ref="D9:E9"/>
    <mergeCell ref="B12:D12"/>
    <mergeCell ref="E12:F12"/>
    <mergeCell ref="B10:C10"/>
    <mergeCell ref="D10:G10"/>
  </mergeCells>
  <dataValidations count="8">
    <dataValidation type="list" allowBlank="1" showInputMessage="1" showErrorMessage="1" sqref="F9" xr:uid="{DD4BE635-AA73-4DDB-A881-BD777ACE8D2B}">
      <formula1>$K$14:$K$17</formula1>
    </dataValidation>
    <dataValidation type="list" allowBlank="1" showInputMessage="1" showErrorMessage="1" sqref="E5" xr:uid="{08B314CF-BB42-4A14-B67C-02850FD9BDF7}">
      <formula1>$R$1:$R$7</formula1>
    </dataValidation>
    <dataValidation type="list" allowBlank="1" showInputMessage="1" showErrorMessage="1" sqref="C5" xr:uid="{8259843B-86D6-4F89-858A-A7F27FC0F765}">
      <formula1>$K$2:$K$9</formula1>
    </dataValidation>
    <dataValidation type="list" allowBlank="1" showInputMessage="1" showErrorMessage="1" sqref="E3" xr:uid="{926420F6-CBCC-4ED4-AFD7-E68F316C5455}">
      <formula1>$M$2:$M$4</formula1>
    </dataValidation>
    <dataValidation type="list" allowBlank="1" showInputMessage="1" showErrorMessage="1" sqref="G7" xr:uid="{A099B054-E7BB-4223-A20E-744C7385576E}">
      <formula1>$P$2:$P$3</formula1>
    </dataValidation>
    <dataValidation type="list" allowBlank="1" showInputMessage="1" showErrorMessage="1" sqref="G8" xr:uid="{49227714-CF7E-4329-BBEE-9E80027553E8}">
      <formula1>$L$1:$L$4</formula1>
    </dataValidation>
    <dataValidation type="list" allowBlank="1" showInputMessage="1" showErrorMessage="1" sqref="C9" xr:uid="{7DA62554-D806-4675-B982-8FA322BE81AD}">
      <formula1>$M$9:$M$10</formula1>
    </dataValidation>
    <dataValidation type="list" allowBlank="1" showInputMessage="1" showErrorMessage="1" sqref="D10:G10" xr:uid="{AE203DCF-EE2A-418A-9E47-F405D1C24321}">
      <formula1>$M$11:$M$13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1DC44-32C1-4C4F-8BA0-67D388EE11B4}">
  <sheetPr>
    <tabColor theme="9" tint="-0.499984740745262"/>
  </sheetPr>
  <dimension ref="A1:T18"/>
  <sheetViews>
    <sheetView zoomScale="120" zoomScaleNormal="120" workbookViewId="0">
      <selection activeCell="E12" sqref="E12:F12"/>
    </sheetView>
  </sheetViews>
  <sheetFormatPr defaultRowHeight="14.5" x14ac:dyDescent="0.35"/>
  <cols>
    <col min="1" max="1" width="4.08984375" customWidth="1"/>
    <col min="2" max="2" width="25.6328125" customWidth="1"/>
    <col min="3" max="3" width="9.6328125" customWidth="1"/>
    <col min="4" max="4" width="18.6328125" customWidth="1"/>
    <col min="5" max="5" width="15.26953125" customWidth="1"/>
    <col min="6" max="6" width="18.1796875" customWidth="1"/>
    <col min="7" max="7" width="11.6328125" customWidth="1"/>
    <col min="8" max="8" width="4.54296875" customWidth="1"/>
    <col min="9" max="19" width="8.7265625" hidden="1" customWidth="1"/>
    <col min="20" max="20" width="5.7265625" hidden="1" customWidth="1"/>
  </cols>
  <sheetData>
    <row r="1" spans="1:19" ht="20" customHeight="1" x14ac:dyDescent="0.35">
      <c r="A1" s="627"/>
      <c r="B1" s="732" t="s">
        <v>245</v>
      </c>
      <c r="C1" s="732"/>
      <c r="D1" s="732"/>
      <c r="E1" s="732"/>
      <c r="F1" s="732"/>
      <c r="G1" s="732"/>
      <c r="H1" s="628"/>
      <c r="I1" s="510"/>
      <c r="J1" s="510"/>
      <c r="K1" s="510"/>
      <c r="L1" s="510" t="s">
        <v>0</v>
      </c>
      <c r="M1" s="510"/>
      <c r="N1" s="510"/>
      <c r="O1" s="510"/>
      <c r="P1" s="510"/>
      <c r="Q1" s="510"/>
      <c r="R1" s="510">
        <v>0</v>
      </c>
      <c r="S1" s="510"/>
    </row>
    <row r="2" spans="1:19" ht="16.5" customHeight="1" x14ac:dyDescent="0.35">
      <c r="A2" s="629"/>
      <c r="B2" s="33" t="s">
        <v>1</v>
      </c>
      <c r="C2" s="333">
        <f>Descrizione!C2</f>
        <v>12345678</v>
      </c>
      <c r="D2" s="33" t="s">
        <v>2</v>
      </c>
      <c r="E2" s="725"/>
      <c r="F2" s="725"/>
      <c r="G2" s="726"/>
      <c r="H2" s="630"/>
      <c r="I2" s="510"/>
      <c r="J2" s="510" t="s">
        <v>3</v>
      </c>
      <c r="K2" s="510" t="s">
        <v>4</v>
      </c>
      <c r="L2" s="510" t="s">
        <v>5</v>
      </c>
      <c r="M2" s="510" t="s">
        <v>6</v>
      </c>
      <c r="N2" s="510"/>
      <c r="O2" s="510"/>
      <c r="P2" s="510" t="s">
        <v>7</v>
      </c>
      <c r="Q2" s="510"/>
      <c r="R2" s="510">
        <v>1</v>
      </c>
      <c r="S2" s="510"/>
    </row>
    <row r="3" spans="1:19" ht="19.5" customHeight="1" x14ac:dyDescent="0.35">
      <c r="A3" s="629"/>
      <c r="B3" s="33" t="s">
        <v>8</v>
      </c>
      <c r="C3" s="55">
        <v>0</v>
      </c>
      <c r="D3" s="33" t="s">
        <v>9</v>
      </c>
      <c r="E3" s="58" t="s">
        <v>6</v>
      </c>
      <c r="F3" s="216"/>
      <c r="G3" s="217"/>
      <c r="H3" s="630"/>
      <c r="I3" s="510"/>
      <c r="J3" s="510" t="s">
        <v>10</v>
      </c>
      <c r="K3" s="510" t="s">
        <v>5</v>
      </c>
      <c r="L3" s="510" t="s">
        <v>4</v>
      </c>
      <c r="M3" s="510" t="s">
        <v>11</v>
      </c>
      <c r="N3" s="510"/>
      <c r="O3" s="510"/>
      <c r="P3" s="510" t="s">
        <v>12</v>
      </c>
      <c r="Q3" s="510"/>
      <c r="R3" s="510">
        <v>2</v>
      </c>
      <c r="S3" s="510"/>
    </row>
    <row r="4" spans="1:19" ht="18.649999999999999" customHeight="1" x14ac:dyDescent="0.35">
      <c r="A4" s="629"/>
      <c r="B4" s="33" t="s">
        <v>13</v>
      </c>
      <c r="C4" s="55">
        <v>0</v>
      </c>
      <c r="D4" s="33" t="s">
        <v>14</v>
      </c>
      <c r="E4" s="55">
        <v>0</v>
      </c>
      <c r="F4" s="721"/>
      <c r="G4" s="722"/>
      <c r="H4" s="630"/>
      <c r="I4" s="510"/>
      <c r="J4" s="510"/>
      <c r="K4" s="510" t="s">
        <v>15</v>
      </c>
      <c r="L4" s="510" t="s">
        <v>16</v>
      </c>
      <c r="M4" s="510" t="s">
        <v>17</v>
      </c>
      <c r="N4" s="510"/>
      <c r="O4" s="510"/>
      <c r="P4" s="510"/>
      <c r="Q4" s="510"/>
      <c r="R4" s="510">
        <v>3</v>
      </c>
      <c r="S4" s="510"/>
    </row>
    <row r="5" spans="1:19" ht="16" customHeight="1" x14ac:dyDescent="0.35">
      <c r="A5" s="629"/>
      <c r="B5" s="33" t="s">
        <v>18</v>
      </c>
      <c r="C5" s="335"/>
      <c r="D5" s="33" t="s">
        <v>19</v>
      </c>
      <c r="E5" s="54">
        <v>0</v>
      </c>
      <c r="F5" s="723"/>
      <c r="G5" s="724"/>
      <c r="H5" s="630"/>
      <c r="I5" s="510"/>
      <c r="J5" s="510"/>
      <c r="K5" s="510" t="s">
        <v>20</v>
      </c>
      <c r="L5" s="510"/>
      <c r="M5" s="510"/>
      <c r="N5" s="510">
        <f>C3*10000/(C6*C7)</f>
        <v>0</v>
      </c>
      <c r="O5" s="510"/>
      <c r="P5" s="510"/>
      <c r="Q5" s="510"/>
      <c r="R5" s="510">
        <v>4</v>
      </c>
      <c r="S5" s="510"/>
    </row>
    <row r="6" spans="1:19" ht="18" customHeight="1" x14ac:dyDescent="0.35">
      <c r="A6" s="629"/>
      <c r="B6" s="33" t="s">
        <v>21</v>
      </c>
      <c r="C6" s="56">
        <v>3</v>
      </c>
      <c r="D6" s="33" t="s">
        <v>22</v>
      </c>
      <c r="E6" s="56">
        <v>1.2</v>
      </c>
      <c r="F6" s="33" t="s">
        <v>23</v>
      </c>
      <c r="G6" s="218">
        <f>IF(C3=0,0,(C3*10000/(C6*E6)))</f>
        <v>0</v>
      </c>
      <c r="H6" s="630"/>
      <c r="I6" s="510"/>
      <c r="J6" s="510"/>
      <c r="K6" s="510" t="s">
        <v>24</v>
      </c>
      <c r="L6" s="510"/>
      <c r="M6" s="510"/>
      <c r="N6" s="510"/>
      <c r="O6" s="510"/>
      <c r="P6" s="510"/>
      <c r="Q6" s="510"/>
      <c r="R6" s="510">
        <v>5</v>
      </c>
      <c r="S6" s="510"/>
    </row>
    <row r="7" spans="1:19" ht="16.5" customHeight="1" x14ac:dyDescent="0.35">
      <c r="A7" s="629"/>
      <c r="B7" s="33" t="s">
        <v>25</v>
      </c>
      <c r="C7" s="56">
        <v>3</v>
      </c>
      <c r="D7" s="33" t="s">
        <v>26</v>
      </c>
      <c r="E7" s="54">
        <v>0</v>
      </c>
      <c r="F7" s="33" t="s">
        <v>27</v>
      </c>
      <c r="G7" s="59" t="s">
        <v>7</v>
      </c>
      <c r="H7" s="630"/>
      <c r="I7" s="510"/>
      <c r="J7" s="511"/>
      <c r="K7" s="510" t="s">
        <v>28</v>
      </c>
      <c r="L7" s="510"/>
      <c r="M7" s="510"/>
      <c r="N7" s="510"/>
      <c r="O7" s="510"/>
      <c r="P7" s="510"/>
      <c r="Q7" s="510"/>
      <c r="R7" s="510">
        <v>6</v>
      </c>
      <c r="S7" s="510"/>
    </row>
    <row r="8" spans="1:19" ht="17.5" customHeight="1" x14ac:dyDescent="0.35">
      <c r="A8" s="629"/>
      <c r="B8" s="34" t="s">
        <v>29</v>
      </c>
      <c r="C8" s="54">
        <v>0.5</v>
      </c>
      <c r="D8" s="35"/>
      <c r="E8" s="33" t="s">
        <v>30</v>
      </c>
      <c r="F8" s="33"/>
      <c r="G8" s="54" t="s">
        <v>5</v>
      </c>
      <c r="H8" s="630"/>
      <c r="I8" s="510"/>
      <c r="J8" s="510"/>
      <c r="K8" s="510" t="s">
        <v>16</v>
      </c>
      <c r="L8" s="510"/>
      <c r="M8" s="510"/>
      <c r="N8" s="510"/>
      <c r="O8" s="510"/>
      <c r="P8" s="510"/>
      <c r="Q8" s="510"/>
      <c r="R8" s="510"/>
      <c r="S8" s="510"/>
    </row>
    <row r="9" spans="1:19" ht="19" customHeight="1" x14ac:dyDescent="0.35">
      <c r="A9" s="629"/>
      <c r="B9" s="219" t="s">
        <v>31</v>
      </c>
      <c r="C9" s="57" t="s">
        <v>32</v>
      </c>
      <c r="D9" s="719" t="s">
        <v>33</v>
      </c>
      <c r="E9" s="720"/>
      <c r="F9" s="570" t="s">
        <v>34</v>
      </c>
      <c r="G9" s="220"/>
      <c r="H9" s="630"/>
      <c r="I9" s="510"/>
      <c r="J9" s="511"/>
      <c r="K9" s="510"/>
      <c r="L9" s="511"/>
      <c r="M9" s="510" t="s">
        <v>32</v>
      </c>
      <c r="N9" s="510"/>
      <c r="O9" s="510"/>
      <c r="P9" s="510"/>
      <c r="Q9" s="510"/>
      <c r="R9" s="510">
        <f>E5-1</f>
        <v>-1</v>
      </c>
      <c r="S9" s="510"/>
    </row>
    <row r="10" spans="1:19" ht="36" customHeight="1" thickBot="1" x14ac:dyDescent="0.4">
      <c r="A10" s="629"/>
      <c r="B10" s="727" t="s">
        <v>263</v>
      </c>
      <c r="C10" s="728"/>
      <c r="D10" s="735" t="s">
        <v>266</v>
      </c>
      <c r="E10" s="736"/>
      <c r="F10" s="736"/>
      <c r="G10" s="737"/>
      <c r="H10" s="630"/>
      <c r="I10" s="510"/>
      <c r="J10" s="511"/>
      <c r="K10" s="510"/>
      <c r="L10" s="511"/>
      <c r="M10" s="510"/>
      <c r="N10" s="510"/>
      <c r="O10" s="510"/>
      <c r="P10" s="510"/>
      <c r="Q10" s="510"/>
      <c r="R10" s="510"/>
      <c r="S10" s="510"/>
    </row>
    <row r="11" spans="1:19" ht="38.5" customHeight="1" thickBot="1" x14ac:dyDescent="0.4">
      <c r="A11" s="629"/>
      <c r="B11" s="572" t="s">
        <v>36</v>
      </c>
      <c r="C11" s="573">
        <v>0</v>
      </c>
      <c r="D11" s="574" t="s">
        <v>37</v>
      </c>
      <c r="E11" s="575">
        <v>3</v>
      </c>
      <c r="F11" s="574" t="s">
        <v>38</v>
      </c>
      <c r="G11" s="576">
        <v>1</v>
      </c>
      <c r="H11" s="630"/>
      <c r="I11" s="510"/>
      <c r="J11" s="512"/>
      <c r="K11" s="510"/>
      <c r="L11" s="510"/>
      <c r="M11" s="510" t="s">
        <v>39</v>
      </c>
      <c r="N11" s="510"/>
      <c r="O11" s="510"/>
      <c r="P11" s="510"/>
      <c r="Q11" s="510"/>
      <c r="R11" s="510"/>
      <c r="S11" s="510"/>
    </row>
    <row r="12" spans="1:19" ht="18.5" customHeight="1" x14ac:dyDescent="0.35">
      <c r="A12" s="629"/>
      <c r="B12" s="715" t="s">
        <v>40</v>
      </c>
      <c r="C12" s="716"/>
      <c r="D12" s="716"/>
      <c r="E12" s="717"/>
      <c r="F12" s="718"/>
      <c r="G12" s="571"/>
      <c r="H12" s="630"/>
      <c r="I12" s="510"/>
      <c r="J12" s="511"/>
      <c r="K12" s="510"/>
      <c r="L12" s="510"/>
      <c r="M12" s="510"/>
      <c r="N12" s="510"/>
      <c r="O12" s="510"/>
      <c r="P12" s="510"/>
      <c r="Q12" s="510"/>
      <c r="R12" s="510"/>
      <c r="S12" s="510"/>
    </row>
    <row r="13" spans="1:19" ht="17.149999999999999" customHeight="1" x14ac:dyDescent="0.35">
      <c r="A13" s="631"/>
      <c r="B13" s="632" t="s">
        <v>41</v>
      </c>
      <c r="C13" s="633"/>
      <c r="D13" s="633"/>
      <c r="E13" s="633"/>
      <c r="F13" s="633"/>
      <c r="G13" s="633"/>
      <c r="H13" s="634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</row>
    <row r="14" spans="1:19" ht="17.149999999999999" customHeight="1" x14ac:dyDescent="0.35">
      <c r="B14" s="491"/>
      <c r="M14" t="s">
        <v>266</v>
      </c>
    </row>
    <row r="15" spans="1:19" x14ac:dyDescent="0.35">
      <c r="G15" s="323" t="str">
        <f>Calcoli!J27</f>
        <v>AM_Ver_SR04_2023</v>
      </c>
      <c r="K15" t="s">
        <v>34</v>
      </c>
      <c r="M15" t="s">
        <v>265</v>
      </c>
    </row>
    <row r="16" spans="1:19" x14ac:dyDescent="0.35">
      <c r="K16" t="s">
        <v>42</v>
      </c>
      <c r="M16" s="510" t="s">
        <v>35</v>
      </c>
    </row>
    <row r="17" spans="11:11" x14ac:dyDescent="0.35">
      <c r="K17" s="221" t="s">
        <v>44</v>
      </c>
    </row>
    <row r="18" spans="11:11" x14ac:dyDescent="0.35">
      <c r="K18" t="s">
        <v>35</v>
      </c>
    </row>
  </sheetData>
  <sheetProtection algorithmName="SHA-512" hashValue="RJh2nckcXNVz9haDPHYmcRNBdA3oWfCfllsmUFanD5pHwys6YtfO2J+OZ3fL84pRYd6NjFgjBIR/yPag5nIY7w==" saltValue="O+vxPpULw9DP8UDDwEmGvA==" spinCount="100000" sheet="1" objects="1" scenarios="1"/>
  <mergeCells count="8">
    <mergeCell ref="B1:G1"/>
    <mergeCell ref="E2:G2"/>
    <mergeCell ref="F4:G5"/>
    <mergeCell ref="D9:E9"/>
    <mergeCell ref="B12:D12"/>
    <mergeCell ref="E12:F12"/>
    <mergeCell ref="B10:C10"/>
    <mergeCell ref="D10:G10"/>
  </mergeCells>
  <dataValidations count="8">
    <dataValidation type="list" allowBlank="1" showInputMessage="1" showErrorMessage="1" sqref="F9" xr:uid="{56C90E8C-7B19-43E1-B141-2A33F1526068}">
      <formula1>$K$15:$K$18</formula1>
    </dataValidation>
    <dataValidation type="list" allowBlank="1" showInputMessage="1" showErrorMessage="1" sqref="C9" xr:uid="{5E5A4B8F-FF2F-43C5-8D30-8B085E5BF115}">
      <formula1>$M$9:$M$12</formula1>
    </dataValidation>
    <dataValidation type="list" allowBlank="1" showInputMessage="1" showErrorMessage="1" sqref="E5" xr:uid="{8B494657-F8B7-41EA-BDC8-787499805F77}">
      <formula1>$R$1:$R$7</formula1>
    </dataValidation>
    <dataValidation type="list" allowBlank="1" showInputMessage="1" showErrorMessage="1" sqref="C5" xr:uid="{AAE41072-0CD2-46B3-8011-C7641DA38A40}">
      <formula1>$K$1:$K$8</formula1>
    </dataValidation>
    <dataValidation type="list" allowBlank="1" showInputMessage="1" showErrorMessage="1" sqref="E3" xr:uid="{2C5E033F-3CC6-4901-A2F1-0247F4AA5007}">
      <formula1>$M$2:$M$4</formula1>
    </dataValidation>
    <dataValidation type="list" allowBlank="1" showInputMessage="1" showErrorMessage="1" sqref="G7" xr:uid="{3539641C-BD6F-4718-9841-1844A8EED301}">
      <formula1>$P$2:$P$3</formula1>
    </dataValidation>
    <dataValidation type="list" allowBlank="1" showInputMessage="1" showErrorMessage="1" sqref="G8" xr:uid="{A4367893-8AD3-4309-A399-0ADF10145E81}">
      <formula1>$L$1:$L$4</formula1>
    </dataValidation>
    <dataValidation type="list" allowBlank="1" showInputMessage="1" showErrorMessage="1" sqref="D10:G10" xr:uid="{68567764-3AA4-4168-9BC5-EED0B2DCE508}">
      <formula1>$M$14:$M$16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BD37-98FA-415E-9EA4-FFC4AD3AF5C3}">
  <sheetPr>
    <tabColor theme="7" tint="0.39997558519241921"/>
  </sheetPr>
  <dimension ref="A1:I16"/>
  <sheetViews>
    <sheetView zoomScale="110" zoomScaleNormal="110" workbookViewId="0">
      <selection activeCell="C4" sqref="C4"/>
    </sheetView>
  </sheetViews>
  <sheetFormatPr defaultRowHeight="14.5" x14ac:dyDescent="0.35"/>
  <cols>
    <col min="1" max="1" width="6.1796875" customWidth="1"/>
    <col min="2" max="2" width="16.7265625" customWidth="1"/>
    <col min="3" max="3" width="11.453125" customWidth="1"/>
    <col min="4" max="5" width="13.81640625" customWidth="1"/>
    <col min="6" max="6" width="16.26953125" customWidth="1"/>
    <col min="7" max="7" width="16.7265625" customWidth="1"/>
    <col min="8" max="8" width="12.1796875" customWidth="1"/>
    <col min="9" max="9" width="7.7265625" customWidth="1"/>
  </cols>
  <sheetData>
    <row r="1" spans="1:9" ht="29.15" customHeight="1" x14ac:dyDescent="0.35">
      <c r="A1" s="647"/>
      <c r="B1" s="649"/>
      <c r="C1" s="738" t="s">
        <v>256</v>
      </c>
      <c r="D1" s="739"/>
      <c r="E1" s="739"/>
      <c r="F1" s="739"/>
      <c r="G1" s="739"/>
      <c r="H1" s="739"/>
      <c r="I1" s="586"/>
    </row>
    <row r="2" spans="1:9" ht="20.149999999999999" customHeight="1" x14ac:dyDescent="0.35">
      <c r="A2" s="648"/>
      <c r="B2" s="35"/>
      <c r="C2" s="126" t="s">
        <v>146</v>
      </c>
      <c r="D2" s="333">
        <f>Descrizione!C2</f>
        <v>12345678</v>
      </c>
      <c r="E2" s="130"/>
      <c r="F2" s="131"/>
      <c r="G2" s="131"/>
      <c r="H2" s="132"/>
      <c r="I2" s="587"/>
    </row>
    <row r="3" spans="1:9" ht="26.5" customHeight="1" x14ac:dyDescent="0.35">
      <c r="A3" s="648"/>
      <c r="B3" s="128" t="s">
        <v>147</v>
      </c>
      <c r="C3" s="128" t="s">
        <v>148</v>
      </c>
      <c r="D3" s="128" t="s">
        <v>149</v>
      </c>
      <c r="E3" s="128" t="s">
        <v>2</v>
      </c>
      <c r="F3" s="128" t="s">
        <v>150</v>
      </c>
      <c r="G3" s="128" t="s">
        <v>151</v>
      </c>
      <c r="H3" s="128" t="s">
        <v>152</v>
      </c>
      <c r="I3" s="587"/>
    </row>
    <row r="4" spans="1:9" x14ac:dyDescent="0.35">
      <c r="A4" s="648"/>
      <c r="B4" s="129">
        <v>1</v>
      </c>
      <c r="C4" s="56"/>
      <c r="D4" s="222"/>
      <c r="E4" s="54"/>
      <c r="F4" s="56">
        <v>3</v>
      </c>
      <c r="G4" s="56">
        <v>1.2</v>
      </c>
      <c r="H4" s="124">
        <f>C4*10000/(F4*G4)</f>
        <v>0</v>
      </c>
      <c r="I4" s="587"/>
    </row>
    <row r="5" spans="1:9" ht="21" customHeight="1" x14ac:dyDescent="0.35">
      <c r="A5" s="648"/>
      <c r="B5" s="129">
        <v>2</v>
      </c>
      <c r="C5" s="56"/>
      <c r="D5" s="222"/>
      <c r="E5" s="54"/>
      <c r="F5" s="123">
        <f>F4</f>
        <v>3</v>
      </c>
      <c r="G5" s="123">
        <f>G4</f>
        <v>1.2</v>
      </c>
      <c r="H5" s="124">
        <f>C5*10000/(F5*G5)</f>
        <v>0</v>
      </c>
      <c r="I5" s="587"/>
    </row>
    <row r="6" spans="1:9" x14ac:dyDescent="0.35">
      <c r="A6" s="648"/>
      <c r="B6" s="129">
        <v>3</v>
      </c>
      <c r="C6" s="56"/>
      <c r="D6" s="222"/>
      <c r="E6" s="54"/>
      <c r="F6" s="123">
        <f>F4</f>
        <v>3</v>
      </c>
      <c r="G6" s="123">
        <f>G4</f>
        <v>1.2</v>
      </c>
      <c r="H6" s="124">
        <f t="shared" ref="H6:H13" si="0">C6*10000/(F6*G6)</f>
        <v>0</v>
      </c>
      <c r="I6" s="588"/>
    </row>
    <row r="7" spans="1:9" x14ac:dyDescent="0.35">
      <c r="A7" s="648"/>
      <c r="B7" s="129">
        <v>4</v>
      </c>
      <c r="C7" s="56"/>
      <c r="D7" s="222"/>
      <c r="E7" s="54"/>
      <c r="F7" s="123">
        <f>F4</f>
        <v>3</v>
      </c>
      <c r="G7" s="123">
        <f>G4</f>
        <v>1.2</v>
      </c>
      <c r="H7" s="124">
        <f t="shared" si="0"/>
        <v>0</v>
      </c>
      <c r="I7" s="587"/>
    </row>
    <row r="8" spans="1:9" x14ac:dyDescent="0.35">
      <c r="A8" s="648"/>
      <c r="B8" s="129">
        <v>5</v>
      </c>
      <c r="C8" s="56"/>
      <c r="D8" s="222"/>
      <c r="E8" s="54"/>
      <c r="F8" s="123">
        <f>F4</f>
        <v>3</v>
      </c>
      <c r="G8" s="123">
        <f>G4</f>
        <v>1.2</v>
      </c>
      <c r="H8" s="124">
        <f t="shared" si="0"/>
        <v>0</v>
      </c>
      <c r="I8" s="587"/>
    </row>
    <row r="9" spans="1:9" x14ac:dyDescent="0.35">
      <c r="A9" s="648"/>
      <c r="B9" s="129">
        <v>6</v>
      </c>
      <c r="C9" s="56"/>
      <c r="D9" s="222"/>
      <c r="E9" s="54"/>
      <c r="F9" s="123">
        <f>F4</f>
        <v>3</v>
      </c>
      <c r="G9" s="123">
        <f>G4</f>
        <v>1.2</v>
      </c>
      <c r="H9" s="124">
        <f t="shared" si="0"/>
        <v>0</v>
      </c>
      <c r="I9" s="587"/>
    </row>
    <row r="10" spans="1:9" x14ac:dyDescent="0.35">
      <c r="A10" s="648"/>
      <c r="B10" s="129">
        <v>7</v>
      </c>
      <c r="C10" s="56"/>
      <c r="D10" s="222"/>
      <c r="E10" s="54"/>
      <c r="F10" s="123">
        <f>F4</f>
        <v>3</v>
      </c>
      <c r="G10" s="123">
        <f>G4</f>
        <v>1.2</v>
      </c>
      <c r="H10" s="124">
        <f t="shared" si="0"/>
        <v>0</v>
      </c>
      <c r="I10" s="587"/>
    </row>
    <row r="11" spans="1:9" x14ac:dyDescent="0.35">
      <c r="A11" s="648"/>
      <c r="B11" s="129">
        <v>8</v>
      </c>
      <c r="C11" s="56"/>
      <c r="D11" s="222"/>
      <c r="E11" s="54"/>
      <c r="F11" s="123">
        <f>F4</f>
        <v>3</v>
      </c>
      <c r="G11" s="123">
        <f>G4</f>
        <v>1.2</v>
      </c>
      <c r="H11" s="124">
        <f t="shared" si="0"/>
        <v>0</v>
      </c>
      <c r="I11" s="587"/>
    </row>
    <row r="12" spans="1:9" x14ac:dyDescent="0.35">
      <c r="A12" s="648"/>
      <c r="B12" s="129">
        <v>9</v>
      </c>
      <c r="C12" s="56"/>
      <c r="D12" s="222"/>
      <c r="E12" s="54"/>
      <c r="F12" s="123">
        <f>F4</f>
        <v>3</v>
      </c>
      <c r="G12" s="123">
        <f>G4</f>
        <v>1.2</v>
      </c>
      <c r="H12" s="124">
        <f t="shared" si="0"/>
        <v>0</v>
      </c>
      <c r="I12" s="587"/>
    </row>
    <row r="13" spans="1:9" x14ac:dyDescent="0.35">
      <c r="A13" s="648"/>
      <c r="B13" s="129">
        <v>10</v>
      </c>
      <c r="C13" s="56"/>
      <c r="D13" s="222"/>
      <c r="E13" s="54"/>
      <c r="F13" s="123">
        <f>F4</f>
        <v>3</v>
      </c>
      <c r="G13" s="123">
        <f>G4</f>
        <v>1.2</v>
      </c>
      <c r="H13" s="124">
        <f t="shared" si="0"/>
        <v>0</v>
      </c>
      <c r="I13" s="587"/>
    </row>
    <row r="14" spans="1:9" ht="30.65" customHeight="1" x14ac:dyDescent="0.35">
      <c r="A14" s="648"/>
      <c r="B14" s="120" t="s">
        <v>153</v>
      </c>
      <c r="C14" s="123">
        <f>SUM(C4:C13)</f>
        <v>0</v>
      </c>
      <c r="D14" s="124">
        <f>SUM(D4:D13)</f>
        <v>0</v>
      </c>
      <c r="E14" s="125"/>
      <c r="F14" s="125"/>
      <c r="G14" s="125"/>
      <c r="H14" s="124">
        <f>SUM(H4:H13)</f>
        <v>0</v>
      </c>
      <c r="I14" s="587"/>
    </row>
    <row r="15" spans="1:9" ht="20.149999999999999" customHeight="1" x14ac:dyDescent="0.35">
      <c r="A15" s="589"/>
      <c r="B15" s="650"/>
      <c r="C15" s="590"/>
      <c r="D15" s="590"/>
      <c r="E15" s="590"/>
      <c r="F15" s="590"/>
      <c r="G15" s="590"/>
      <c r="H15" s="590"/>
      <c r="I15" s="591"/>
    </row>
    <row r="16" spans="1:9" x14ac:dyDescent="0.35">
      <c r="H16" t="str">
        <f>Calcoli!J27</f>
        <v>AM_Ver_SR04_2023</v>
      </c>
    </row>
  </sheetData>
  <sheetProtection algorithmName="SHA-512" hashValue="KGCVXaRJOHL2Kejl45Fp2o6c2iP7IDkH4iGQfqUL+AhniRhbOJLTwtM9VniRJMdx4AD905LYNtT1BJOEFnc67g==" saltValue="AjziC/zhJM/OhEFxXOAaWg==" spinCount="100000" sheet="1" objects="1" scenarios="1"/>
  <mergeCells count="1">
    <mergeCell ref="C1:H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8D02D-99AF-4448-9307-CD39032F30D9}">
  <sheetPr>
    <tabColor rgb="FFFF0000"/>
    <pageSetUpPr fitToPage="1"/>
  </sheetPr>
  <dimension ref="A1:O59"/>
  <sheetViews>
    <sheetView topLeftCell="A37" zoomScale="70" zoomScaleNormal="70" workbookViewId="0">
      <selection activeCell="H36" sqref="H36:I36"/>
    </sheetView>
  </sheetViews>
  <sheetFormatPr defaultRowHeight="14.5" x14ac:dyDescent="0.35"/>
  <cols>
    <col min="1" max="1" width="24.1796875" customWidth="1"/>
    <col min="2" max="2" width="27.81640625" customWidth="1"/>
    <col min="3" max="3" width="7.81640625" customWidth="1"/>
    <col min="4" max="4" width="10.6328125" customWidth="1"/>
    <col min="5" max="5" width="11.90625" customWidth="1"/>
    <col min="6" max="6" width="10.6328125" customWidth="1"/>
    <col min="7" max="7" width="8" customWidth="1"/>
    <col min="8" max="8" width="57.6328125" customWidth="1"/>
    <col min="9" max="9" width="15.54296875" customWidth="1"/>
    <col min="10" max="10" width="15" customWidth="1"/>
    <col min="11" max="11" width="22.453125" customWidth="1"/>
    <col min="12" max="12" width="13.26953125" customWidth="1"/>
    <col min="13" max="13" width="39.54296875" customWidth="1"/>
    <col min="14" max="14" width="10.453125" customWidth="1"/>
    <col min="15" max="15" width="11.54296875" customWidth="1"/>
  </cols>
  <sheetData>
    <row r="1" spans="1:15" ht="42.65" customHeight="1" x14ac:dyDescent="0.35">
      <c r="A1" s="795" t="s">
        <v>252</v>
      </c>
      <c r="B1" s="796"/>
      <c r="C1" s="796"/>
      <c r="D1" s="797"/>
      <c r="E1" s="797"/>
      <c r="F1" s="797"/>
      <c r="G1" s="798"/>
      <c r="H1" s="798"/>
      <c r="I1" s="788" t="s">
        <v>48</v>
      </c>
      <c r="J1" s="788"/>
      <c r="K1" s="592">
        <f>Calcoli!G3</f>
        <v>1</v>
      </c>
      <c r="L1" s="593" t="s">
        <v>49</v>
      </c>
      <c r="M1" s="594">
        <f>Calcoli!N17</f>
        <v>0</v>
      </c>
      <c r="N1" s="595"/>
      <c r="O1" s="635"/>
    </row>
    <row r="2" spans="1:15" ht="46" customHeight="1" x14ac:dyDescent="0.45">
      <c r="A2" s="596"/>
      <c r="B2" s="413" t="s">
        <v>50</v>
      </c>
      <c r="C2" s="793">
        <f>Descrizione!C2</f>
        <v>12345678</v>
      </c>
      <c r="D2" s="794">
        <f>Descrizione!D1</f>
        <v>0</v>
      </c>
      <c r="E2" s="676"/>
      <c r="F2" s="493"/>
      <c r="G2" s="489"/>
      <c r="H2" s="490"/>
      <c r="I2" s="789" t="s">
        <v>246</v>
      </c>
      <c r="J2" s="790"/>
      <c r="K2" s="420">
        <f>Calcoli!N7</f>
        <v>1</v>
      </c>
      <c r="L2" s="776" t="s">
        <v>51</v>
      </c>
      <c r="M2" s="777"/>
      <c r="N2" s="778"/>
      <c r="O2" s="635"/>
    </row>
    <row r="3" spans="1:15" ht="48" customHeight="1" thickBot="1" x14ac:dyDescent="0.4">
      <c r="A3" s="597"/>
      <c r="B3" s="212" t="s">
        <v>97</v>
      </c>
      <c r="C3" s="212" t="s">
        <v>53</v>
      </c>
      <c r="D3" s="13" t="s">
        <v>54</v>
      </c>
      <c r="E3" s="13" t="s">
        <v>254</v>
      </c>
      <c r="F3" s="109"/>
      <c r="G3" s="213" t="s">
        <v>56</v>
      </c>
      <c r="H3" s="791" t="s">
        <v>255</v>
      </c>
      <c r="I3" s="792"/>
      <c r="J3" s="418" t="s">
        <v>58</v>
      </c>
      <c r="K3" s="419" t="s">
        <v>224</v>
      </c>
      <c r="L3" s="503" t="s">
        <v>59</v>
      </c>
      <c r="M3" s="504" t="s">
        <v>60</v>
      </c>
      <c r="N3" s="598" t="s">
        <v>232</v>
      </c>
      <c r="O3" s="635"/>
    </row>
    <row r="4" spans="1:15" ht="31" customHeight="1" thickTop="1" x14ac:dyDescent="0.35">
      <c r="A4" s="744" t="s">
        <v>61</v>
      </c>
      <c r="B4" s="5" t="s">
        <v>62</v>
      </c>
      <c r="C4" s="6" t="s">
        <v>63</v>
      </c>
      <c r="D4" s="138">
        <f>Calcoli!N17</f>
        <v>0</v>
      </c>
      <c r="E4" s="677"/>
      <c r="F4" s="104"/>
      <c r="G4" s="652" t="s">
        <v>63</v>
      </c>
      <c r="H4" s="752"/>
      <c r="I4" s="753"/>
      <c r="J4" s="94"/>
      <c r="K4" s="159">
        <f>Calcoli!N20</f>
        <v>0</v>
      </c>
      <c r="L4" s="313"/>
      <c r="M4" s="141"/>
      <c r="N4" s="599" t="str">
        <f>IF(E4=0,"NP",(J4/E4))</f>
        <v>NP</v>
      </c>
      <c r="O4" s="635"/>
    </row>
    <row r="5" spans="1:15" ht="31" customHeight="1" x14ac:dyDescent="0.35">
      <c r="A5" s="745"/>
      <c r="B5" s="1" t="s">
        <v>64</v>
      </c>
      <c r="C5" s="2" t="s">
        <v>63</v>
      </c>
      <c r="D5" s="139">
        <f>Calcoli!N17</f>
        <v>0</v>
      </c>
      <c r="E5" s="678"/>
      <c r="F5" s="105"/>
      <c r="G5" s="653" t="s">
        <v>63</v>
      </c>
      <c r="H5" s="754"/>
      <c r="I5" s="755"/>
      <c r="J5" s="95"/>
      <c r="K5" s="160">
        <f>Calcoli!N21</f>
        <v>0</v>
      </c>
      <c r="L5" s="314"/>
      <c r="M5" s="142"/>
      <c r="N5" s="600" t="str">
        <f t="shared" ref="N5:N8" si="0">IF(E5=0,"NP",(J5/E5))</f>
        <v>NP</v>
      </c>
      <c r="O5" s="635"/>
    </row>
    <row r="6" spans="1:15" ht="31" customHeight="1" x14ac:dyDescent="0.35">
      <c r="A6" s="745"/>
      <c r="B6" s="3" t="s">
        <v>65</v>
      </c>
      <c r="C6" s="4" t="s">
        <v>63</v>
      </c>
      <c r="D6" s="140">
        <f>Calcoli!N17</f>
        <v>0</v>
      </c>
      <c r="E6" s="679"/>
      <c r="F6" s="106"/>
      <c r="G6" s="654"/>
      <c r="H6" s="754"/>
      <c r="I6" s="756"/>
      <c r="J6" s="96"/>
      <c r="K6" s="160">
        <f>Calcoli!N23</f>
        <v>0</v>
      </c>
      <c r="L6" s="314"/>
      <c r="M6" s="143"/>
      <c r="N6" s="600" t="str">
        <f t="shared" si="0"/>
        <v>NP</v>
      </c>
      <c r="O6" s="635"/>
    </row>
    <row r="7" spans="1:15" ht="21.65" customHeight="1" thickBot="1" x14ac:dyDescent="0.4">
      <c r="A7" s="746"/>
      <c r="B7" s="7" t="s">
        <v>66</v>
      </c>
      <c r="C7" s="8" t="s">
        <v>63</v>
      </c>
      <c r="D7" s="36"/>
      <c r="E7" s="449"/>
      <c r="F7" s="445"/>
      <c r="G7" s="655"/>
      <c r="H7" s="757"/>
      <c r="I7" s="758"/>
      <c r="J7" s="97">
        <f>SUM(J4:J6)</f>
        <v>0</v>
      </c>
      <c r="K7" s="459">
        <f>SUM(K4:K6)</f>
        <v>0</v>
      </c>
      <c r="L7" s="315">
        <f>SUM(L4:L6)</f>
        <v>0</v>
      </c>
      <c r="M7" s="144"/>
      <c r="N7" s="601"/>
      <c r="O7" s="635"/>
    </row>
    <row r="8" spans="1:15" ht="34" customHeight="1" thickTop="1" thickBot="1" x14ac:dyDescent="0.4">
      <c r="A8" s="602" t="s">
        <v>241</v>
      </c>
      <c r="B8" s="237" t="s">
        <v>237</v>
      </c>
      <c r="C8" s="17" t="s">
        <v>69</v>
      </c>
      <c r="D8" s="444">
        <f>Calcoli!N31</f>
        <v>1</v>
      </c>
      <c r="E8" s="680"/>
      <c r="F8" s="442"/>
      <c r="G8" s="656"/>
      <c r="H8" s="786"/>
      <c r="I8" s="787"/>
      <c r="J8" s="464"/>
      <c r="K8" s="460">
        <f>Calcoli!N32</f>
        <v>793.83699999999999</v>
      </c>
      <c r="L8" s="713"/>
      <c r="M8" s="443"/>
      <c r="N8" s="600" t="str">
        <f t="shared" si="0"/>
        <v>NP</v>
      </c>
      <c r="O8" s="635"/>
    </row>
    <row r="9" spans="1:15" ht="24" customHeight="1" thickTop="1" x14ac:dyDescent="0.35">
      <c r="A9" s="747" t="s">
        <v>67</v>
      </c>
      <c r="B9" s="9" t="s">
        <v>68</v>
      </c>
      <c r="C9" s="17" t="s">
        <v>69</v>
      </c>
      <c r="D9" s="138">
        <f>K1</f>
        <v>1</v>
      </c>
      <c r="E9" s="677"/>
      <c r="F9" s="302"/>
      <c r="G9" s="657"/>
      <c r="H9" s="779"/>
      <c r="I9" s="780"/>
      <c r="J9" s="69"/>
      <c r="K9" s="781"/>
      <c r="L9" s="304"/>
      <c r="M9" s="79"/>
      <c r="N9" s="600" t="str">
        <f t="shared" ref="N9:N16" si="1">IF(E9=0,"NP",(J9/E9))</f>
        <v>NP</v>
      </c>
      <c r="O9" s="635"/>
    </row>
    <row r="10" spans="1:15" ht="24" customHeight="1" x14ac:dyDescent="0.35">
      <c r="A10" s="748"/>
      <c r="B10" s="10" t="s">
        <v>70</v>
      </c>
      <c r="C10" s="18" t="s">
        <v>69</v>
      </c>
      <c r="D10" s="139">
        <f>K1</f>
        <v>1</v>
      </c>
      <c r="E10" s="681"/>
      <c r="F10" s="303"/>
      <c r="G10" s="658"/>
      <c r="H10" s="784"/>
      <c r="I10" s="785"/>
      <c r="J10" s="70"/>
      <c r="K10" s="782"/>
      <c r="L10" s="305"/>
      <c r="M10" s="80"/>
      <c r="N10" s="600" t="str">
        <f t="shared" si="1"/>
        <v>NP</v>
      </c>
      <c r="O10" s="635"/>
    </row>
    <row r="11" spans="1:15" ht="24" customHeight="1" x14ac:dyDescent="0.35">
      <c r="A11" s="748"/>
      <c r="B11" s="11" t="s">
        <v>71</v>
      </c>
      <c r="C11" s="18" t="s">
        <v>69</v>
      </c>
      <c r="D11" s="139">
        <f>K1</f>
        <v>1</v>
      </c>
      <c r="E11" s="681"/>
      <c r="F11" s="303"/>
      <c r="G11" s="658"/>
      <c r="H11" s="765"/>
      <c r="I11" s="764"/>
      <c r="J11" s="70"/>
      <c r="K11" s="782"/>
      <c r="L11" s="305"/>
      <c r="M11" s="80"/>
      <c r="N11" s="600" t="str">
        <f t="shared" si="1"/>
        <v>NP</v>
      </c>
      <c r="O11" s="635"/>
    </row>
    <row r="12" spans="1:15" ht="24" customHeight="1" x14ac:dyDescent="0.35">
      <c r="A12" s="748"/>
      <c r="B12" s="11" t="s">
        <v>72</v>
      </c>
      <c r="C12" s="18" t="s">
        <v>69</v>
      </c>
      <c r="D12" s="139">
        <f>K1</f>
        <v>1</v>
      </c>
      <c r="E12" s="681"/>
      <c r="F12" s="303"/>
      <c r="G12" s="658"/>
      <c r="H12" s="765"/>
      <c r="I12" s="764"/>
      <c r="J12" s="70"/>
      <c r="K12" s="782"/>
      <c r="L12" s="305"/>
      <c r="M12" s="80"/>
      <c r="N12" s="600" t="str">
        <f t="shared" si="1"/>
        <v>NP</v>
      </c>
      <c r="O12" s="635"/>
    </row>
    <row r="13" spans="1:15" ht="24" customHeight="1" x14ac:dyDescent="0.35">
      <c r="A13" s="748"/>
      <c r="B13" s="10" t="s">
        <v>73</v>
      </c>
      <c r="C13" s="18" t="s">
        <v>69</v>
      </c>
      <c r="D13" s="139">
        <f>K1</f>
        <v>1</v>
      </c>
      <c r="E13" s="681" t="s">
        <v>275</v>
      </c>
      <c r="F13" s="303"/>
      <c r="G13" s="658"/>
      <c r="H13" s="765"/>
      <c r="I13" s="764"/>
      <c r="J13" s="70"/>
      <c r="K13" s="782"/>
      <c r="L13" s="305"/>
      <c r="M13" s="80"/>
      <c r="N13" s="600" t="e">
        <f t="shared" si="1"/>
        <v>#VALUE!</v>
      </c>
      <c r="O13" s="635"/>
    </row>
    <row r="14" spans="1:15" ht="24" customHeight="1" x14ac:dyDescent="0.35">
      <c r="A14" s="748"/>
      <c r="B14" s="29" t="s">
        <v>74</v>
      </c>
      <c r="C14" s="19" t="s">
        <v>75</v>
      </c>
      <c r="D14" s="38"/>
      <c r="E14" s="682"/>
      <c r="F14" s="157"/>
      <c r="G14" s="659"/>
      <c r="H14" s="772"/>
      <c r="I14" s="773"/>
      <c r="J14" s="70"/>
      <c r="K14" s="782"/>
      <c r="L14" s="305"/>
      <c r="M14" s="81"/>
      <c r="N14" s="600" t="str">
        <f t="shared" si="1"/>
        <v>NP</v>
      </c>
      <c r="O14" s="635"/>
    </row>
    <row r="15" spans="1:15" ht="24" customHeight="1" x14ac:dyDescent="0.35">
      <c r="A15" s="748"/>
      <c r="B15" s="71"/>
      <c r="C15" s="51"/>
      <c r="D15" s="37"/>
      <c r="E15" s="683"/>
      <c r="F15" s="37"/>
      <c r="G15" s="660"/>
      <c r="H15" s="754"/>
      <c r="I15" s="764"/>
      <c r="J15" s="70"/>
      <c r="K15" s="782"/>
      <c r="L15" s="305"/>
      <c r="M15" s="81"/>
      <c r="N15" s="600" t="str">
        <f t="shared" si="1"/>
        <v>NP</v>
      </c>
      <c r="O15" s="635"/>
    </row>
    <row r="16" spans="1:15" ht="24" customHeight="1" x14ac:dyDescent="0.35">
      <c r="A16" s="748"/>
      <c r="B16" s="71"/>
      <c r="C16" s="51"/>
      <c r="D16" s="37"/>
      <c r="E16" s="683"/>
      <c r="F16" s="37"/>
      <c r="G16" s="660"/>
      <c r="H16" s="754"/>
      <c r="I16" s="764"/>
      <c r="J16" s="93"/>
      <c r="K16" s="783"/>
      <c r="L16" s="306"/>
      <c r="M16" s="81"/>
      <c r="N16" s="600" t="str">
        <f t="shared" si="1"/>
        <v>NP</v>
      </c>
      <c r="O16" s="635"/>
    </row>
    <row r="17" spans="1:15" ht="25" customHeight="1" thickBot="1" x14ac:dyDescent="0.4">
      <c r="A17" s="748"/>
      <c r="B17" s="14" t="s">
        <v>66</v>
      </c>
      <c r="C17" s="446"/>
      <c r="D17" s="447"/>
      <c r="E17" s="447"/>
      <c r="F17" s="447"/>
      <c r="G17" s="661"/>
      <c r="H17" s="757"/>
      <c r="I17" s="759"/>
      <c r="J17" s="98">
        <f>SUM(J9:J16)</f>
        <v>0</v>
      </c>
      <c r="K17" s="461">
        <f>Calcoli!G7</f>
        <v>690</v>
      </c>
      <c r="L17" s="191">
        <f>SUM(L9:L16)</f>
        <v>0</v>
      </c>
      <c r="M17" s="82"/>
      <c r="N17" s="601"/>
      <c r="O17" s="635"/>
    </row>
    <row r="18" spans="1:15" ht="17.25" customHeight="1" thickTop="1" x14ac:dyDescent="0.35">
      <c r="A18" s="749" t="s">
        <v>76</v>
      </c>
      <c r="B18" s="15" t="s">
        <v>248</v>
      </c>
      <c r="C18" s="21" t="s">
        <v>63</v>
      </c>
      <c r="D18" s="145">
        <f>K1</f>
        <v>1</v>
      </c>
      <c r="E18" s="684"/>
      <c r="F18" s="107"/>
      <c r="G18" s="662" t="str">
        <f>C18</f>
        <v>ha</v>
      </c>
      <c r="H18" s="760"/>
      <c r="I18" s="761"/>
      <c r="J18" s="69"/>
      <c r="K18" s="326">
        <f>0.8*Calcoli!G4</f>
        <v>2560</v>
      </c>
      <c r="L18" s="308"/>
      <c r="M18" s="83"/>
      <c r="N18" s="600" t="str">
        <f t="shared" ref="N18:N20" si="2">IF(E18=0,"NP",(J18/E18))</f>
        <v>NP</v>
      </c>
      <c r="O18" s="635"/>
    </row>
    <row r="19" spans="1:15" ht="20.5" customHeight="1" x14ac:dyDescent="0.35">
      <c r="A19" s="750"/>
      <c r="B19" s="20" t="s">
        <v>77</v>
      </c>
      <c r="C19" s="22" t="s">
        <v>78</v>
      </c>
      <c r="D19" s="186">
        <f>Calcoli!G4</f>
        <v>3200</v>
      </c>
      <c r="E19" s="685">
        <v>3300</v>
      </c>
      <c r="F19" s="108"/>
      <c r="G19" s="663" t="str">
        <f>C19</f>
        <v>n.</v>
      </c>
      <c r="H19" s="754" t="s">
        <v>274</v>
      </c>
      <c r="I19" s="764"/>
      <c r="J19" s="99">
        <v>6600</v>
      </c>
      <c r="K19" s="327">
        <f>1.3*Calcoli!G4</f>
        <v>4160</v>
      </c>
      <c r="L19" s="309"/>
      <c r="M19" s="84"/>
      <c r="N19" s="600">
        <f t="shared" si="2"/>
        <v>2</v>
      </c>
      <c r="O19" s="635"/>
    </row>
    <row r="20" spans="1:15" ht="20.5" customHeight="1" x14ac:dyDescent="0.35">
      <c r="A20" s="750"/>
      <c r="B20" s="16" t="s">
        <v>79</v>
      </c>
      <c r="C20" s="22" t="s">
        <v>78</v>
      </c>
      <c r="D20" s="148">
        <f>Calcoli!G4</f>
        <v>3200</v>
      </c>
      <c r="E20" s="686"/>
      <c r="F20" s="43"/>
      <c r="G20" s="664"/>
      <c r="H20" s="754"/>
      <c r="I20" s="764"/>
      <c r="J20" s="70"/>
      <c r="K20" s="328">
        <f>Calcoli!G12</f>
        <v>1920</v>
      </c>
      <c r="L20" s="310"/>
      <c r="M20" s="85"/>
      <c r="N20" s="600" t="str">
        <f t="shared" si="2"/>
        <v>NP</v>
      </c>
      <c r="O20" s="635"/>
    </row>
    <row r="21" spans="1:15" ht="23.5" customHeight="1" thickBot="1" x14ac:dyDescent="0.4">
      <c r="A21" s="751"/>
      <c r="B21" s="12" t="s">
        <v>66</v>
      </c>
      <c r="C21" s="448"/>
      <c r="D21" s="445"/>
      <c r="E21" s="449"/>
      <c r="F21" s="449"/>
      <c r="G21" s="655"/>
      <c r="H21" s="757"/>
      <c r="I21" s="759"/>
      <c r="J21" s="100">
        <f>SUM(J18:J20)</f>
        <v>6600</v>
      </c>
      <c r="K21" s="462">
        <f>SUM(K18:K20)</f>
        <v>8640</v>
      </c>
      <c r="L21" s="205">
        <f>SUM(L18:L20)</f>
        <v>0</v>
      </c>
      <c r="M21" s="86"/>
      <c r="N21" s="601"/>
      <c r="O21" s="635"/>
    </row>
    <row r="22" spans="1:15" ht="20.149999999999999" customHeight="1" thickTop="1" x14ac:dyDescent="0.35">
      <c r="A22" s="799" t="s">
        <v>80</v>
      </c>
      <c r="B22" s="25" t="s">
        <v>81</v>
      </c>
      <c r="C22" s="21" t="s">
        <v>78</v>
      </c>
      <c r="D22" s="149">
        <f>Calcoli!G13</f>
        <v>60</v>
      </c>
      <c r="E22" s="687"/>
      <c r="F22" s="108"/>
      <c r="G22" s="663" t="str">
        <f t="shared" ref="G22:G24" si="3">C22</f>
        <v>n.</v>
      </c>
      <c r="H22" s="762"/>
      <c r="I22" s="761"/>
      <c r="J22" s="69"/>
      <c r="K22" s="805"/>
      <c r="L22" s="325"/>
      <c r="M22" s="83"/>
      <c r="N22" s="600" t="str">
        <f t="shared" ref="N22:N36" si="4">IF(E22=0,"NP",(J22/E22))</f>
        <v>NP</v>
      </c>
      <c r="O22" s="635"/>
    </row>
    <row r="23" spans="1:15" ht="25" customHeight="1" x14ac:dyDescent="0.35">
      <c r="A23" s="800"/>
      <c r="B23" s="24" t="s">
        <v>82</v>
      </c>
      <c r="C23" s="23" t="s">
        <v>78</v>
      </c>
      <c r="D23" s="150">
        <f>Calcoli!G13</f>
        <v>60</v>
      </c>
      <c r="E23" s="688"/>
      <c r="F23" s="108"/>
      <c r="G23" s="663" t="str">
        <f t="shared" si="3"/>
        <v>n.</v>
      </c>
      <c r="H23" s="765"/>
      <c r="I23" s="764"/>
      <c r="J23" s="70"/>
      <c r="K23" s="806"/>
      <c r="L23" s="495"/>
      <c r="M23" s="85"/>
      <c r="N23" s="600" t="str">
        <f t="shared" si="4"/>
        <v>NP</v>
      </c>
      <c r="O23" s="635"/>
    </row>
    <row r="24" spans="1:15" ht="24.5" customHeight="1" x14ac:dyDescent="0.35">
      <c r="A24" s="800"/>
      <c r="B24" s="24" t="s">
        <v>83</v>
      </c>
      <c r="C24" s="23" t="s">
        <v>78</v>
      </c>
      <c r="D24" s="148">
        <f>Calcoli!G19</f>
        <v>773.33333333333337</v>
      </c>
      <c r="E24" s="688"/>
      <c r="F24" s="108"/>
      <c r="G24" s="663" t="str">
        <f t="shared" si="3"/>
        <v>n.</v>
      </c>
      <c r="H24" s="765"/>
      <c r="I24" s="764"/>
      <c r="J24" s="70"/>
      <c r="K24" s="806"/>
      <c r="L24" s="495"/>
      <c r="M24" s="85"/>
      <c r="N24" s="600" t="str">
        <f t="shared" si="4"/>
        <v>NP</v>
      </c>
      <c r="O24" s="635"/>
    </row>
    <row r="25" spans="1:15" ht="23" customHeight="1" x14ac:dyDescent="0.35">
      <c r="A25" s="800"/>
      <c r="B25" s="24" t="s">
        <v>84</v>
      </c>
      <c r="C25" s="23" t="s">
        <v>85</v>
      </c>
      <c r="D25" s="148">
        <f>Calcoli!G21</f>
        <v>4000</v>
      </c>
      <c r="E25" s="694"/>
      <c r="F25" s="674" t="s">
        <v>269</v>
      </c>
      <c r="G25" s="673"/>
      <c r="H25" s="754"/>
      <c r="I25" s="764"/>
      <c r="J25" s="70"/>
      <c r="K25" s="806"/>
      <c r="L25" s="495"/>
      <c r="M25" s="85"/>
      <c r="N25" s="600" t="str">
        <f t="shared" si="4"/>
        <v>NP</v>
      </c>
      <c r="O25" s="635"/>
    </row>
    <row r="26" spans="1:15" ht="25" customHeight="1" x14ac:dyDescent="0.35">
      <c r="A26" s="800"/>
      <c r="B26" s="24" t="s">
        <v>86</v>
      </c>
      <c r="C26" s="23" t="s">
        <v>85</v>
      </c>
      <c r="D26" s="148">
        <f>Calcoli!G23</f>
        <v>12000</v>
      </c>
      <c r="E26" s="695"/>
      <c r="F26" s="674" t="s">
        <v>269</v>
      </c>
      <c r="G26" s="673"/>
      <c r="H26" s="765"/>
      <c r="I26" s="764"/>
      <c r="J26" s="70"/>
      <c r="K26" s="806"/>
      <c r="L26" s="495"/>
      <c r="M26" s="85"/>
      <c r="N26" s="600" t="str">
        <f t="shared" si="4"/>
        <v>NP</v>
      </c>
      <c r="O26" s="635"/>
    </row>
    <row r="27" spans="1:15" ht="24.5" customHeight="1" x14ac:dyDescent="0.35">
      <c r="A27" s="800"/>
      <c r="B27" s="24" t="s">
        <v>87</v>
      </c>
      <c r="C27" s="23" t="s">
        <v>78</v>
      </c>
      <c r="D27" s="148">
        <f>Calcoli!G4</f>
        <v>3200</v>
      </c>
      <c r="E27" s="688"/>
      <c r="F27" s="674"/>
      <c r="G27" s="651"/>
      <c r="H27" s="765"/>
      <c r="I27" s="764"/>
      <c r="J27" s="70"/>
      <c r="K27" s="806"/>
      <c r="L27" s="495"/>
      <c r="M27" s="85"/>
      <c r="N27" s="600" t="str">
        <f t="shared" si="4"/>
        <v>NP</v>
      </c>
      <c r="O27" s="635"/>
    </row>
    <row r="28" spans="1:15" ht="26.5" customHeight="1" x14ac:dyDescent="0.35">
      <c r="A28" s="800"/>
      <c r="B28" s="24" t="s">
        <v>88</v>
      </c>
      <c r="C28" s="23" t="s">
        <v>85</v>
      </c>
      <c r="D28" s="148">
        <f>Calcoli!G28</f>
        <v>0</v>
      </c>
      <c r="E28" s="695"/>
      <c r="F28" s="674" t="s">
        <v>269</v>
      </c>
      <c r="G28" s="673"/>
      <c r="H28" s="765"/>
      <c r="I28" s="755"/>
      <c r="J28" s="70"/>
      <c r="K28" s="806"/>
      <c r="L28" s="495"/>
      <c r="M28" s="85"/>
      <c r="N28" s="600" t="str">
        <f t="shared" si="4"/>
        <v>NP</v>
      </c>
      <c r="O28" s="635"/>
    </row>
    <row r="29" spans="1:15" ht="32.25" customHeight="1" x14ac:dyDescent="0.35">
      <c r="A29" s="800"/>
      <c r="B29" s="24" t="s">
        <v>89</v>
      </c>
      <c r="C29" s="23" t="s">
        <v>78</v>
      </c>
      <c r="D29" s="42"/>
      <c r="E29" s="688"/>
      <c r="F29" s="43"/>
      <c r="G29" s="651"/>
      <c r="H29" s="765"/>
      <c r="I29" s="764"/>
      <c r="J29" s="70"/>
      <c r="K29" s="806"/>
      <c r="L29" s="495"/>
      <c r="M29" s="85"/>
      <c r="N29" s="600" t="str">
        <f t="shared" si="4"/>
        <v>NP</v>
      </c>
      <c r="O29" s="635"/>
    </row>
    <row r="30" spans="1:15" ht="20.149999999999999" customHeight="1" x14ac:dyDescent="0.35">
      <c r="A30" s="800"/>
      <c r="B30" s="24" t="s">
        <v>90</v>
      </c>
      <c r="C30" s="23" t="s">
        <v>78</v>
      </c>
      <c r="D30" s="148">
        <f>Calcoli!G25</f>
        <v>0</v>
      </c>
      <c r="E30" s="688"/>
      <c r="F30" s="43"/>
      <c r="G30" s="665" t="s">
        <v>78</v>
      </c>
      <c r="H30" s="765"/>
      <c r="I30" s="764"/>
      <c r="J30" s="70"/>
      <c r="K30" s="806"/>
      <c r="L30" s="495"/>
      <c r="M30" s="85"/>
      <c r="N30" s="600" t="str">
        <f t="shared" si="4"/>
        <v>NP</v>
      </c>
      <c r="O30" s="635"/>
    </row>
    <row r="31" spans="1:15" ht="30.75" customHeight="1" x14ac:dyDescent="0.35">
      <c r="A31" s="800"/>
      <c r="B31" s="26" t="s">
        <v>91</v>
      </c>
      <c r="C31" s="23" t="s">
        <v>78</v>
      </c>
      <c r="D31" s="42"/>
      <c r="E31" s="688"/>
      <c r="F31" s="43"/>
      <c r="G31" s="665" t="s">
        <v>78</v>
      </c>
      <c r="H31" s="765"/>
      <c r="I31" s="764"/>
      <c r="J31" s="70"/>
      <c r="K31" s="806"/>
      <c r="L31" s="495"/>
      <c r="M31" s="85"/>
      <c r="N31" s="600" t="str">
        <f t="shared" si="4"/>
        <v>NP</v>
      </c>
      <c r="O31" s="635"/>
    </row>
    <row r="32" spans="1:15" ht="33.75" customHeight="1" x14ac:dyDescent="0.35">
      <c r="A32" s="800"/>
      <c r="B32" s="11" t="s">
        <v>92</v>
      </c>
      <c r="C32" s="23" t="s">
        <v>63</v>
      </c>
      <c r="D32" s="494">
        <f>Calcoli!G3</f>
        <v>1</v>
      </c>
      <c r="E32" s="699"/>
      <c r="F32" s="43"/>
      <c r="G32" s="666"/>
      <c r="H32" s="765"/>
      <c r="I32" s="764"/>
      <c r="J32" s="70"/>
      <c r="K32" s="806"/>
      <c r="L32" s="495"/>
      <c r="M32" s="85"/>
      <c r="N32" s="600" t="str">
        <f t="shared" si="4"/>
        <v>NP</v>
      </c>
      <c r="O32" s="635"/>
    </row>
    <row r="33" spans="1:15" ht="20.149999999999999" customHeight="1" x14ac:dyDescent="0.35">
      <c r="A33" s="801"/>
      <c r="B33" s="72"/>
      <c r="C33" s="45"/>
      <c r="D33" s="45"/>
      <c r="E33" s="75"/>
      <c r="F33" s="52"/>
      <c r="G33" s="667"/>
      <c r="H33" s="765"/>
      <c r="I33" s="764"/>
      <c r="J33" s="101"/>
      <c r="K33" s="806"/>
      <c r="L33" s="495"/>
      <c r="M33" s="87"/>
      <c r="N33" s="600" t="str">
        <f t="shared" si="4"/>
        <v>NP</v>
      </c>
      <c r="O33" s="635"/>
    </row>
    <row r="34" spans="1:15" ht="20.149999999999999" customHeight="1" x14ac:dyDescent="0.35">
      <c r="A34" s="801"/>
      <c r="B34" s="72"/>
      <c r="C34" s="45"/>
      <c r="D34" s="45"/>
      <c r="E34" s="75"/>
      <c r="F34" s="52"/>
      <c r="G34" s="667"/>
      <c r="H34" s="765"/>
      <c r="I34" s="755"/>
      <c r="J34" s="101"/>
      <c r="K34" s="806"/>
      <c r="L34" s="495"/>
      <c r="M34" s="87"/>
      <c r="N34" s="600" t="str">
        <f t="shared" si="4"/>
        <v>NP</v>
      </c>
      <c r="O34" s="635"/>
    </row>
    <row r="35" spans="1:15" ht="20.149999999999999" customHeight="1" x14ac:dyDescent="0.35">
      <c r="A35" s="801"/>
      <c r="B35" s="72"/>
      <c r="C35" s="45"/>
      <c r="D35" s="45"/>
      <c r="E35" s="75"/>
      <c r="F35" s="52"/>
      <c r="G35" s="667"/>
      <c r="H35" s="765"/>
      <c r="I35" s="764"/>
      <c r="J35" s="101"/>
      <c r="K35" s="806"/>
      <c r="L35" s="495"/>
      <c r="M35" s="87"/>
      <c r="N35" s="600" t="str">
        <f t="shared" si="4"/>
        <v>NP</v>
      </c>
      <c r="O35" s="635"/>
    </row>
    <row r="36" spans="1:15" ht="49.5" customHeight="1" x14ac:dyDescent="0.35">
      <c r="A36" s="801"/>
      <c r="B36" s="72" t="s">
        <v>93</v>
      </c>
      <c r="C36" s="45"/>
      <c r="D36" s="45"/>
      <c r="E36" s="75"/>
      <c r="F36" s="52"/>
      <c r="G36" s="667"/>
      <c r="H36" s="765"/>
      <c r="I36" s="764"/>
      <c r="J36" s="101"/>
      <c r="K36" s="807"/>
      <c r="L36" s="495"/>
      <c r="M36" s="87"/>
      <c r="N36" s="600" t="str">
        <f t="shared" si="4"/>
        <v>NP</v>
      </c>
      <c r="O36" s="635"/>
    </row>
    <row r="37" spans="1:15" ht="22" customHeight="1" thickBot="1" x14ac:dyDescent="0.4">
      <c r="A37" s="802"/>
      <c r="B37" s="27" t="s">
        <v>66</v>
      </c>
      <c r="C37" s="448"/>
      <c r="D37" s="445"/>
      <c r="E37" s="449"/>
      <c r="F37" s="449"/>
      <c r="G37" s="661"/>
      <c r="H37" s="757"/>
      <c r="I37" s="759"/>
      <c r="J37" s="100">
        <f>SUM(J22:J36)</f>
        <v>0</v>
      </c>
      <c r="K37" s="462">
        <f>Calcoli!G27</f>
        <v>8500</v>
      </c>
      <c r="L37" s="205">
        <f>SUM(L22:L36)</f>
        <v>0</v>
      </c>
      <c r="M37" s="86"/>
      <c r="N37" s="601"/>
      <c r="O37" s="635"/>
    </row>
    <row r="38" spans="1:15" ht="18.649999999999999" customHeight="1" thickTop="1" x14ac:dyDescent="0.35">
      <c r="A38" s="803" t="s">
        <v>94</v>
      </c>
      <c r="B38" s="28" t="s">
        <v>95</v>
      </c>
      <c r="C38" s="44" t="s">
        <v>78</v>
      </c>
      <c r="D38" s="187">
        <f>Calcoli!N6</f>
        <v>0</v>
      </c>
      <c r="E38" s="696"/>
      <c r="F38" s="110"/>
      <c r="G38" s="663" t="str">
        <f t="shared" ref="G38" si="5">C38</f>
        <v>n.</v>
      </c>
      <c r="H38" s="762"/>
      <c r="I38" s="761"/>
      <c r="J38" s="102"/>
      <c r="K38" s="329">
        <f>0.3*Calcoli!N6</f>
        <v>0</v>
      </c>
      <c r="L38" s="496"/>
      <c r="M38" s="88"/>
      <c r="N38" s="600" t="str">
        <f t="shared" ref="N38:N39" si="6">IF(E38=0,"NP",(J38/E38))</f>
        <v>NP</v>
      </c>
      <c r="O38" s="635"/>
    </row>
    <row r="39" spans="1:15" ht="26.5" thickBot="1" x14ac:dyDescent="0.4">
      <c r="A39" s="804"/>
      <c r="B39" s="39" t="s">
        <v>96</v>
      </c>
      <c r="C39" s="46" t="s">
        <v>78</v>
      </c>
      <c r="D39" s="188">
        <f>Calcoli!N6</f>
        <v>0</v>
      </c>
      <c r="E39" s="697"/>
      <c r="F39" s="111"/>
      <c r="G39" s="668"/>
      <c r="H39" s="763"/>
      <c r="I39" s="764"/>
      <c r="J39" s="101"/>
      <c r="K39" s="207">
        <f>1.7*Calcoli!N6</f>
        <v>0</v>
      </c>
      <c r="L39" s="497"/>
      <c r="M39" s="89"/>
      <c r="N39" s="600" t="str">
        <f t="shared" si="6"/>
        <v>NP</v>
      </c>
      <c r="O39" s="635"/>
    </row>
    <row r="40" spans="1:15" ht="20.149999999999999" customHeight="1" thickBot="1" x14ac:dyDescent="0.4">
      <c r="A40" s="804"/>
      <c r="B40" s="30" t="s">
        <v>66</v>
      </c>
      <c r="C40" s="448"/>
      <c r="D40" s="449"/>
      <c r="E40" s="689"/>
      <c r="F40" s="450"/>
      <c r="G40" s="669"/>
      <c r="H40" s="757"/>
      <c r="I40" s="769"/>
      <c r="J40" s="103">
        <f>SUM(J38:J39)</f>
        <v>0</v>
      </c>
      <c r="K40" s="463">
        <f>SUM(K38:K39)</f>
        <v>0</v>
      </c>
      <c r="L40" s="207">
        <f>SUM(L38:L39)</f>
        <v>0</v>
      </c>
      <c r="M40" s="87"/>
      <c r="N40" s="601"/>
      <c r="O40" s="635"/>
    </row>
    <row r="41" spans="1:15" ht="46.5" customHeight="1" thickTop="1" thickBot="1" x14ac:dyDescent="0.4">
      <c r="A41" s="603"/>
      <c r="B41" s="119" t="s">
        <v>97</v>
      </c>
      <c r="C41" s="114" t="s">
        <v>53</v>
      </c>
      <c r="D41" s="115" t="s">
        <v>54</v>
      </c>
      <c r="E41" s="690" t="s">
        <v>254</v>
      </c>
      <c r="F41" s="116" t="s">
        <v>225</v>
      </c>
      <c r="G41" s="670" t="s">
        <v>56</v>
      </c>
      <c r="H41" s="774" t="s">
        <v>98</v>
      </c>
      <c r="I41" s="775"/>
      <c r="J41" s="117" t="s">
        <v>58</v>
      </c>
      <c r="K41" s="206" t="s">
        <v>226</v>
      </c>
      <c r="L41" s="204" t="s">
        <v>59</v>
      </c>
      <c r="M41" s="203" t="s">
        <v>60</v>
      </c>
      <c r="N41" s="601"/>
      <c r="O41" s="635"/>
    </row>
    <row r="42" spans="1:15" ht="15" thickTop="1" x14ac:dyDescent="0.35">
      <c r="A42" s="740" t="s">
        <v>99</v>
      </c>
      <c r="B42" s="118" t="s">
        <v>100</v>
      </c>
      <c r="C42" s="48" t="s">
        <v>85</v>
      </c>
      <c r="D42" s="189">
        <f>Calcoli!N10</f>
        <v>75</v>
      </c>
      <c r="E42" s="691"/>
      <c r="F42" s="121"/>
      <c r="G42" s="662" t="str">
        <f t="shared" ref="G42:G45" si="7">C42</f>
        <v>m</v>
      </c>
      <c r="H42" s="762"/>
      <c r="I42" s="761"/>
      <c r="J42" s="69"/>
      <c r="K42" s="766" t="s">
        <v>101</v>
      </c>
      <c r="L42" s="499"/>
      <c r="M42" s="83"/>
      <c r="N42" s="600" t="str">
        <f t="shared" ref="N42:N54" si="8">IF(E42=0,"NP",(J42/E42))</f>
        <v>NP</v>
      </c>
      <c r="O42" s="635"/>
    </row>
    <row r="43" spans="1:15" x14ac:dyDescent="0.35">
      <c r="A43" s="741"/>
      <c r="B43" s="31" t="s">
        <v>102</v>
      </c>
      <c r="C43" s="49" t="s">
        <v>85</v>
      </c>
      <c r="D43" s="148">
        <f>Calcoli!N11</f>
        <v>4000</v>
      </c>
      <c r="E43" s="692"/>
      <c r="F43" s="122"/>
      <c r="G43" s="663" t="str">
        <f t="shared" si="7"/>
        <v>m</v>
      </c>
      <c r="H43" s="765"/>
      <c r="I43" s="764"/>
      <c r="J43" s="70"/>
      <c r="K43" s="767"/>
      <c r="L43" s="498"/>
      <c r="M43" s="85"/>
      <c r="N43" s="600" t="str">
        <f t="shared" si="8"/>
        <v>NP</v>
      </c>
      <c r="O43" s="635"/>
    </row>
    <row r="44" spans="1:15" x14ac:dyDescent="0.35">
      <c r="A44" s="741"/>
      <c r="B44" s="31" t="s">
        <v>103</v>
      </c>
      <c r="C44" s="49" t="s">
        <v>85</v>
      </c>
      <c r="D44" s="148">
        <f>Calcoli!N12</f>
        <v>4000</v>
      </c>
      <c r="E44" s="692"/>
      <c r="F44" s="122"/>
      <c r="G44" s="663" t="str">
        <f t="shared" si="7"/>
        <v>m</v>
      </c>
      <c r="H44" s="765"/>
      <c r="I44" s="764"/>
      <c r="J44" s="70"/>
      <c r="K44" s="767"/>
      <c r="L44" s="498"/>
      <c r="M44" s="85"/>
      <c r="N44" s="600" t="str">
        <f t="shared" si="8"/>
        <v>NP</v>
      </c>
      <c r="O44" s="635"/>
    </row>
    <row r="45" spans="1:15" x14ac:dyDescent="0.35">
      <c r="A45" s="741"/>
      <c r="B45" s="31" t="s">
        <v>104</v>
      </c>
      <c r="C45" s="49" t="s">
        <v>105</v>
      </c>
      <c r="D45" s="148">
        <f>Calcoli!N16</f>
        <v>6666.666666666667</v>
      </c>
      <c r="F45" s="122"/>
      <c r="G45" s="663" t="str">
        <f t="shared" si="7"/>
        <v>cad</v>
      </c>
      <c r="H45" s="765"/>
      <c r="I45" s="764"/>
      <c r="J45" s="70"/>
      <c r="K45" s="767"/>
      <c r="L45" s="498"/>
      <c r="M45" s="85"/>
      <c r="N45" s="600" t="str">
        <f>IF(E46=0,"NP",(J45/E46))</f>
        <v>NP</v>
      </c>
      <c r="O45" s="635"/>
    </row>
    <row r="46" spans="1:15" ht="29.5" customHeight="1" x14ac:dyDescent="0.35">
      <c r="A46" s="741"/>
      <c r="B46" s="31" t="s">
        <v>267</v>
      </c>
      <c r="C46" s="43"/>
      <c r="D46" s="43"/>
      <c r="E46" s="698"/>
      <c r="F46" s="77"/>
      <c r="G46" s="671"/>
      <c r="H46" s="765"/>
      <c r="I46" s="764"/>
      <c r="J46" s="70"/>
      <c r="K46" s="767"/>
      <c r="L46" s="498"/>
      <c r="M46" s="85"/>
      <c r="N46" s="600" t="e">
        <f>IF(#REF!=0,"NP",(J46/#REF!))</f>
        <v>#REF!</v>
      </c>
      <c r="O46" s="635"/>
    </row>
    <row r="47" spans="1:15" ht="20.149999999999999" customHeight="1" x14ac:dyDescent="0.35">
      <c r="A47" s="741"/>
      <c r="B47" s="31" t="s">
        <v>271</v>
      </c>
      <c r="C47" s="43"/>
      <c r="D47" s="43"/>
      <c r="E47" s="693"/>
      <c r="F47" s="77"/>
      <c r="G47" s="671"/>
      <c r="H47" s="765" t="s">
        <v>108</v>
      </c>
      <c r="I47" s="764"/>
      <c r="J47" s="70"/>
      <c r="K47" s="767"/>
      <c r="L47" s="498"/>
      <c r="M47" s="85"/>
      <c r="N47" s="600" t="str">
        <f t="shared" si="8"/>
        <v>NP</v>
      </c>
      <c r="O47" s="635"/>
    </row>
    <row r="48" spans="1:15" ht="32.15" customHeight="1" x14ac:dyDescent="0.35">
      <c r="A48" s="742"/>
      <c r="B48" s="31" t="s">
        <v>272</v>
      </c>
      <c r="C48" s="43"/>
      <c r="D48" s="43"/>
      <c r="E48" s="693"/>
      <c r="F48" s="77"/>
      <c r="G48" s="671"/>
      <c r="H48" s="765"/>
      <c r="I48" s="764"/>
      <c r="J48" s="70"/>
      <c r="K48" s="767"/>
      <c r="L48" s="498"/>
      <c r="M48" s="85"/>
      <c r="N48" s="600" t="str">
        <f t="shared" si="8"/>
        <v>NP</v>
      </c>
      <c r="O48" s="635"/>
    </row>
    <row r="49" spans="1:15" ht="21.65" customHeight="1" x14ac:dyDescent="0.35">
      <c r="A49" s="742"/>
      <c r="B49" s="31" t="s">
        <v>273</v>
      </c>
      <c r="C49" s="43"/>
      <c r="D49" s="43"/>
      <c r="E49" s="693"/>
      <c r="F49" s="77"/>
      <c r="G49" s="671"/>
      <c r="H49" s="765"/>
      <c r="I49" s="764"/>
      <c r="J49" s="70"/>
      <c r="K49" s="767"/>
      <c r="L49" s="498"/>
      <c r="M49" s="85"/>
      <c r="N49" s="600" t="str">
        <f t="shared" si="8"/>
        <v>NP</v>
      </c>
      <c r="O49" s="635"/>
    </row>
    <row r="50" spans="1:15" ht="21.65" customHeight="1" x14ac:dyDescent="0.35">
      <c r="A50" s="742"/>
      <c r="B50" s="62"/>
      <c r="C50" s="43"/>
      <c r="D50" s="43"/>
      <c r="E50" s="693"/>
      <c r="F50" s="77"/>
      <c r="G50" s="671"/>
      <c r="H50" s="765"/>
      <c r="I50" s="764"/>
      <c r="J50" s="70"/>
      <c r="K50" s="767"/>
      <c r="L50" s="498"/>
      <c r="M50" s="85"/>
      <c r="N50" s="600" t="str">
        <f t="shared" si="8"/>
        <v>NP</v>
      </c>
      <c r="O50" s="635"/>
    </row>
    <row r="51" spans="1:15" ht="21.65" customHeight="1" x14ac:dyDescent="0.35">
      <c r="A51" s="742"/>
      <c r="B51" s="62"/>
      <c r="C51" s="43"/>
      <c r="D51" s="43"/>
      <c r="E51" s="693"/>
      <c r="F51" s="77"/>
      <c r="G51" s="671"/>
      <c r="H51" s="765"/>
      <c r="I51" s="764"/>
      <c r="J51" s="70"/>
      <c r="K51" s="767"/>
      <c r="L51" s="498"/>
      <c r="M51" s="85"/>
      <c r="N51" s="600" t="str">
        <f t="shared" si="8"/>
        <v>NP</v>
      </c>
      <c r="O51" s="635"/>
    </row>
    <row r="52" spans="1:15" ht="21.65" customHeight="1" x14ac:dyDescent="0.35">
      <c r="A52" s="742"/>
      <c r="B52" s="62"/>
      <c r="C52" s="43"/>
      <c r="D52" s="43"/>
      <c r="E52" s="693"/>
      <c r="F52" s="77"/>
      <c r="G52" s="671"/>
      <c r="H52" s="765"/>
      <c r="I52" s="764"/>
      <c r="J52" s="70"/>
      <c r="K52" s="767"/>
      <c r="L52" s="498"/>
      <c r="M52" s="85"/>
      <c r="N52" s="600" t="str">
        <f t="shared" si="8"/>
        <v>NP</v>
      </c>
      <c r="O52" s="635"/>
    </row>
    <row r="53" spans="1:15" ht="21.65" customHeight="1" x14ac:dyDescent="0.35">
      <c r="A53" s="742"/>
      <c r="B53" s="62"/>
      <c r="C53" s="43"/>
      <c r="D53" s="43"/>
      <c r="E53" s="693"/>
      <c r="F53" s="77"/>
      <c r="G53" s="671"/>
      <c r="H53" s="765"/>
      <c r="I53" s="764"/>
      <c r="J53" s="70"/>
      <c r="K53" s="767"/>
      <c r="L53" s="498"/>
      <c r="M53" s="85"/>
      <c r="N53" s="600" t="str">
        <f t="shared" si="8"/>
        <v>NP</v>
      </c>
      <c r="O53" s="635"/>
    </row>
    <row r="54" spans="1:15" ht="28" customHeight="1" x14ac:dyDescent="0.35">
      <c r="A54" s="742"/>
      <c r="B54" s="50" t="s">
        <v>111</v>
      </c>
      <c r="C54" s="43"/>
      <c r="D54" s="43"/>
      <c r="E54" s="693"/>
      <c r="F54" s="112"/>
      <c r="G54" s="671"/>
      <c r="H54" s="765"/>
      <c r="I54" s="764"/>
      <c r="J54" s="70"/>
      <c r="K54" s="767"/>
      <c r="L54" s="498"/>
      <c r="M54" s="85"/>
      <c r="N54" s="600" t="str">
        <f t="shared" si="8"/>
        <v>NP</v>
      </c>
      <c r="O54" s="635"/>
    </row>
    <row r="55" spans="1:15" ht="25" customHeight="1" thickBot="1" x14ac:dyDescent="0.4">
      <c r="A55" s="743"/>
      <c r="B55" s="32" t="s">
        <v>249</v>
      </c>
      <c r="C55" s="448"/>
      <c r="D55" s="449"/>
      <c r="E55" s="449"/>
      <c r="F55" s="449"/>
      <c r="G55" s="449"/>
      <c r="H55" s="770"/>
      <c r="I55" s="771"/>
      <c r="J55" s="100">
        <f>SUM(J42:J54)</f>
        <v>0</v>
      </c>
      <c r="K55" s="768"/>
      <c r="L55" s="705">
        <f>SUM(L42:L54)</f>
        <v>0</v>
      </c>
      <c r="M55" s="86"/>
      <c r="N55" s="604"/>
      <c r="O55" s="635"/>
    </row>
    <row r="56" spans="1:15" ht="8.5" customHeight="1" thickTop="1" x14ac:dyDescent="0.35">
      <c r="A56" s="605"/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53"/>
      <c r="N56" s="607"/>
      <c r="O56" s="635"/>
    </row>
    <row r="57" spans="1:15" ht="23" customHeight="1" x14ac:dyDescent="0.35">
      <c r="A57" s="608" t="s">
        <v>112</v>
      </c>
      <c r="B57" s="606"/>
      <c r="C57" s="606"/>
      <c r="D57" s="606"/>
      <c r="E57" s="606"/>
      <c r="F57" s="606"/>
      <c r="G57" s="606"/>
      <c r="H57" s="53"/>
      <c r="I57" s="53"/>
      <c r="J57" s="53"/>
      <c r="K57" s="53"/>
      <c r="L57" s="53"/>
      <c r="M57" s="53"/>
      <c r="N57" s="607"/>
      <c r="O57" s="635"/>
    </row>
    <row r="58" spans="1:15" ht="16.5" customHeight="1" x14ac:dyDescent="0.35">
      <c r="A58" s="608" t="s">
        <v>270</v>
      </c>
      <c r="B58" s="606"/>
      <c r="C58" s="606"/>
      <c r="D58" s="606"/>
      <c r="E58" s="606"/>
      <c r="F58" s="606"/>
      <c r="G58" s="606"/>
      <c r="H58" s="53"/>
      <c r="I58" s="53"/>
      <c r="J58" s="53"/>
      <c r="K58" s="53"/>
      <c r="L58" s="53"/>
      <c r="M58" s="53"/>
      <c r="N58" s="607"/>
      <c r="O58" s="635"/>
    </row>
    <row r="59" spans="1:15" ht="18.5" customHeight="1" thickBot="1" x14ac:dyDescent="0.4">
      <c r="A59" s="609" t="s">
        <v>268</v>
      </c>
      <c r="B59" s="610"/>
      <c r="C59" s="610"/>
      <c r="D59" s="610"/>
      <c r="E59" s="610"/>
      <c r="F59" s="610"/>
      <c r="G59" s="610"/>
      <c r="H59" s="610"/>
      <c r="I59" s="610"/>
      <c r="J59" s="610"/>
      <c r="K59" s="610"/>
      <c r="L59" s="610"/>
      <c r="M59" s="610" t="str">
        <f>Calcoli!J27</f>
        <v>AM_Ver_SR04_2023</v>
      </c>
      <c r="N59" s="611"/>
      <c r="O59" s="635"/>
    </row>
  </sheetData>
  <sheetProtection algorithmName="SHA-512" hashValue="z/Xo6wQHOYLZKaSGi48iUTBkf+arYofXN2TZq5bCoyCUd/4VK1WlLhAfZYrSfpDsZTT6d6Hfjt5B8SRVF94rxw==" saltValue="1FnbSw6ShUY6UNWPtMdbdg==" spinCount="100000" sheet="1" selectLockedCells="1"/>
  <mergeCells count="67">
    <mergeCell ref="A22:A37"/>
    <mergeCell ref="A38:A40"/>
    <mergeCell ref="K22:K36"/>
    <mergeCell ref="H24:I24"/>
    <mergeCell ref="H31:I31"/>
    <mergeCell ref="H32:I32"/>
    <mergeCell ref="H33:I33"/>
    <mergeCell ref="H36:I36"/>
    <mergeCell ref="H25:I25"/>
    <mergeCell ref="H26:I26"/>
    <mergeCell ref="H27:I27"/>
    <mergeCell ref="H29:I29"/>
    <mergeCell ref="H30:I30"/>
    <mergeCell ref="I1:J1"/>
    <mergeCell ref="I2:J2"/>
    <mergeCell ref="H3:I3"/>
    <mergeCell ref="C2:D2"/>
    <mergeCell ref="A1:H1"/>
    <mergeCell ref="L2:N2"/>
    <mergeCell ref="H9:I9"/>
    <mergeCell ref="H12:I12"/>
    <mergeCell ref="H13:I13"/>
    <mergeCell ref="H15:I15"/>
    <mergeCell ref="K9:K16"/>
    <mergeCell ref="H16:I16"/>
    <mergeCell ref="H10:I10"/>
    <mergeCell ref="H8:I8"/>
    <mergeCell ref="H17:I17"/>
    <mergeCell ref="H14:I14"/>
    <mergeCell ref="H11:I11"/>
    <mergeCell ref="H35:I35"/>
    <mergeCell ref="H41:I41"/>
    <mergeCell ref="H28:I28"/>
    <mergeCell ref="H34:I34"/>
    <mergeCell ref="H22:I22"/>
    <mergeCell ref="K42:K55"/>
    <mergeCell ref="H54:I54"/>
    <mergeCell ref="H51:I51"/>
    <mergeCell ref="H40:I40"/>
    <mergeCell ref="H55:I55"/>
    <mergeCell ref="H44:I44"/>
    <mergeCell ref="H45:I45"/>
    <mergeCell ref="H46:I46"/>
    <mergeCell ref="H47:I47"/>
    <mergeCell ref="H48:I48"/>
    <mergeCell ref="H43:I43"/>
    <mergeCell ref="H49:I49"/>
    <mergeCell ref="H50:I50"/>
    <mergeCell ref="H52:I52"/>
    <mergeCell ref="H53:I53"/>
    <mergeCell ref="H42:I42"/>
    <mergeCell ref="A42:A55"/>
    <mergeCell ref="A4:A7"/>
    <mergeCell ref="A9:A17"/>
    <mergeCell ref="A18:A21"/>
    <mergeCell ref="H4:I4"/>
    <mergeCell ref="H5:I5"/>
    <mergeCell ref="H6:I6"/>
    <mergeCell ref="H7:I7"/>
    <mergeCell ref="H37:I37"/>
    <mergeCell ref="H18:I18"/>
    <mergeCell ref="H38:I38"/>
    <mergeCell ref="H39:I39"/>
    <mergeCell ref="H23:I23"/>
    <mergeCell ref="H19:I19"/>
    <mergeCell ref="H20:I20"/>
    <mergeCell ref="H21:I21"/>
  </mergeCells>
  <pageMargins left="0.7" right="0.7" top="0.75" bottom="0.75" header="0.3" footer="0.3"/>
  <pageSetup paperSize="8" scale="5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51"/>
  <sheetViews>
    <sheetView topLeftCell="A21" zoomScale="80" zoomScaleNormal="80" workbookViewId="0">
      <selection activeCell="A42" sqref="A42:B42"/>
    </sheetView>
  </sheetViews>
  <sheetFormatPr defaultColWidth="9.1796875" defaultRowHeight="10.5" x14ac:dyDescent="0.25"/>
  <cols>
    <col min="1" max="1" width="23.7265625" style="248" customWidth="1"/>
    <col min="2" max="2" width="23.90625" style="248" customWidth="1"/>
    <col min="3" max="3" width="34" style="248" customWidth="1"/>
    <col min="4" max="4" width="15.7265625" style="248" customWidth="1"/>
    <col min="5" max="5" width="14.81640625" style="248" customWidth="1"/>
    <col min="6" max="6" width="20.1796875" style="248" customWidth="1"/>
    <col min="7" max="7" width="17.1796875" style="248" customWidth="1"/>
    <col min="8" max="8" width="33.81640625" style="248" customWidth="1"/>
    <col min="9" max="9" width="11.26953125" style="248" customWidth="1"/>
    <col min="10" max="10" width="35.7265625" style="248" hidden="1" customWidth="1"/>
    <col min="11" max="11" width="14.7265625" style="248" hidden="1" customWidth="1"/>
    <col min="12" max="13" width="9.1796875" style="248" customWidth="1"/>
    <col min="14" max="16384" width="9.1796875" style="248"/>
  </cols>
  <sheetData>
    <row r="1" spans="1:12" ht="45" customHeight="1" thickTop="1" x14ac:dyDescent="0.25">
      <c r="A1" s="813" t="s">
        <v>253</v>
      </c>
      <c r="B1" s="814"/>
      <c r="C1" s="815"/>
      <c r="D1" s="816" t="s">
        <v>48</v>
      </c>
      <c r="E1" s="817"/>
      <c r="F1" s="520">
        <f>Calcoli!G3</f>
        <v>1</v>
      </c>
      <c r="G1" s="521" t="s">
        <v>49</v>
      </c>
      <c r="H1" s="522">
        <f>Calcoli!N17</f>
        <v>0</v>
      </c>
      <c r="I1" s="247"/>
    </row>
    <row r="2" spans="1:12" ht="35.15" customHeight="1" thickBot="1" x14ac:dyDescent="0.4">
      <c r="A2" s="810"/>
      <c r="B2" s="811"/>
      <c r="C2" s="812"/>
      <c r="D2" s="808" t="s">
        <v>247</v>
      </c>
      <c r="E2" s="809"/>
      <c r="F2" s="246">
        <f>Calcoli!N7</f>
        <v>1</v>
      </c>
      <c r="G2" s="645"/>
      <c r="H2" s="646"/>
      <c r="I2" s="247"/>
      <c r="K2" s="248">
        <v>1</v>
      </c>
    </row>
    <row r="3" spans="1:12" ht="31.5" customHeight="1" thickTop="1" x14ac:dyDescent="0.25">
      <c r="A3" s="524"/>
      <c r="B3" s="413" t="s">
        <v>50</v>
      </c>
      <c r="C3" s="249">
        <f>Descrizione!C2</f>
        <v>12345678</v>
      </c>
      <c r="D3" s="47" t="s">
        <v>115</v>
      </c>
      <c r="E3" s="250"/>
      <c r="F3" s="525"/>
      <c r="G3" s="826" t="s">
        <v>51</v>
      </c>
      <c r="H3" s="827"/>
      <c r="I3" s="251"/>
      <c r="K3" s="248">
        <v>2</v>
      </c>
    </row>
    <row r="4" spans="1:12" ht="35.15" customHeight="1" thickBot="1" x14ac:dyDescent="0.3">
      <c r="A4" s="524"/>
      <c r="B4" s="252" t="s">
        <v>251</v>
      </c>
      <c r="C4" s="252" t="s">
        <v>117</v>
      </c>
      <c r="D4" s="253" t="s">
        <v>118</v>
      </c>
      <c r="E4" s="254" t="s">
        <v>58</v>
      </c>
      <c r="F4" s="255" t="s">
        <v>227</v>
      </c>
      <c r="G4" s="502" t="s">
        <v>119</v>
      </c>
      <c r="H4" s="526" t="s">
        <v>60</v>
      </c>
      <c r="I4" s="256"/>
      <c r="K4" s="248">
        <v>3</v>
      </c>
    </row>
    <row r="5" spans="1:12" ht="24" customHeight="1" thickTop="1" x14ac:dyDescent="0.25">
      <c r="A5" s="818" t="s">
        <v>61</v>
      </c>
      <c r="B5" s="5" t="s">
        <v>62</v>
      </c>
      <c r="C5" s="60"/>
      <c r="D5" s="257">
        <f>E5/Calcoli!K26</f>
        <v>0</v>
      </c>
      <c r="E5" s="64"/>
      <c r="F5" s="451">
        <f>Calcoli!N20</f>
        <v>0</v>
      </c>
      <c r="G5" s="297"/>
      <c r="H5" s="527"/>
      <c r="I5" s="267"/>
      <c r="J5" s="258"/>
      <c r="K5" s="259"/>
      <c r="L5" s="260"/>
    </row>
    <row r="6" spans="1:12" ht="24" customHeight="1" x14ac:dyDescent="0.25">
      <c r="A6" s="819"/>
      <c r="B6" s="1" t="s">
        <v>64</v>
      </c>
      <c r="C6" s="61"/>
      <c r="D6" s="261">
        <f>E6/Calcoli!K26</f>
        <v>0</v>
      </c>
      <c r="E6" s="65"/>
      <c r="F6" s="452">
        <f>Calcoli!N21</f>
        <v>0</v>
      </c>
      <c r="G6" s="298"/>
      <c r="H6" s="528"/>
      <c r="I6" s="267"/>
    </row>
    <row r="7" spans="1:12" ht="24" customHeight="1" thickBot="1" x14ac:dyDescent="0.3">
      <c r="A7" s="820"/>
      <c r="B7" s="7" t="s">
        <v>66</v>
      </c>
      <c r="C7" s="322"/>
      <c r="D7" s="263">
        <f>E7/Calcoli!K26</f>
        <v>0</v>
      </c>
      <c r="E7" s="264">
        <f>E5+E6</f>
        <v>0</v>
      </c>
      <c r="F7" s="265">
        <f>SUM(F5:F6)</f>
        <v>0</v>
      </c>
      <c r="G7" s="266">
        <f>G5+G6</f>
        <v>0</v>
      </c>
      <c r="H7" s="529"/>
      <c r="I7" s="267"/>
    </row>
    <row r="8" spans="1:12" ht="38" customHeight="1" thickTop="1" thickBot="1" x14ac:dyDescent="0.3">
      <c r="A8" s="530" t="s">
        <v>236</v>
      </c>
      <c r="B8" s="237" t="s">
        <v>237</v>
      </c>
      <c r="C8" s="424"/>
      <c r="D8" s="422">
        <f>E8/Calcoli!K26</f>
        <v>0</v>
      </c>
      <c r="E8" s="485"/>
      <c r="F8" s="423">
        <f>Calcoli!N32</f>
        <v>793.83699999999999</v>
      </c>
      <c r="G8" s="426"/>
      <c r="H8" s="531"/>
      <c r="I8" s="267"/>
    </row>
    <row r="9" spans="1:12" ht="24" customHeight="1" thickTop="1" x14ac:dyDescent="0.35">
      <c r="A9" s="829" t="s">
        <v>67</v>
      </c>
      <c r="B9" s="9" t="s">
        <v>68</v>
      </c>
      <c r="C9" s="321"/>
      <c r="D9" s="257">
        <f>E9/Calcoli!K26</f>
        <v>0</v>
      </c>
      <c r="E9" s="91"/>
      <c r="F9" s="781"/>
      <c r="G9" s="313"/>
      <c r="H9" s="532"/>
      <c r="I9" s="268"/>
      <c r="J9" s="269">
        <v>1</v>
      </c>
    </row>
    <row r="10" spans="1:12" ht="24" customHeight="1" x14ac:dyDescent="0.35">
      <c r="A10" s="830"/>
      <c r="B10" s="10" t="s">
        <v>70</v>
      </c>
      <c r="C10" s="208"/>
      <c r="D10" s="320">
        <f>E10/Calcoli!K26</f>
        <v>0</v>
      </c>
      <c r="E10" s="66"/>
      <c r="F10" s="782"/>
      <c r="G10" s="314"/>
      <c r="H10" s="533"/>
      <c r="I10" s="268"/>
      <c r="J10" s="269">
        <v>2</v>
      </c>
    </row>
    <row r="11" spans="1:12" ht="24" customHeight="1" x14ac:dyDescent="0.55000000000000004">
      <c r="A11" s="830"/>
      <c r="B11" s="11" t="s">
        <v>71</v>
      </c>
      <c r="C11" s="534"/>
      <c r="D11" s="261">
        <f>E11/Calcoli!K26</f>
        <v>0</v>
      </c>
      <c r="E11" s="66"/>
      <c r="F11" s="782"/>
      <c r="G11" s="314"/>
      <c r="H11" s="533"/>
      <c r="I11" s="268"/>
      <c r="J11" s="269">
        <v>3</v>
      </c>
      <c r="K11" s="270"/>
    </row>
    <row r="12" spans="1:12" ht="24" customHeight="1" x14ac:dyDescent="0.35">
      <c r="A12" s="830"/>
      <c r="B12" s="11" t="s">
        <v>72</v>
      </c>
      <c r="C12" s="208"/>
      <c r="D12" s="261">
        <f>E12/Calcoli!K26</f>
        <v>0</v>
      </c>
      <c r="E12" s="66"/>
      <c r="F12" s="782"/>
      <c r="G12" s="314"/>
      <c r="H12" s="533"/>
      <c r="I12" s="268"/>
      <c r="J12" s="269">
        <v>4</v>
      </c>
    </row>
    <row r="13" spans="1:12" ht="24" customHeight="1" x14ac:dyDescent="0.35">
      <c r="A13" s="830"/>
      <c r="B13" s="10" t="s">
        <v>73</v>
      </c>
      <c r="C13" s="534"/>
      <c r="D13" s="261">
        <f>E13/Calcoli!K26</f>
        <v>0</v>
      </c>
      <c r="E13" s="66"/>
      <c r="F13" s="782"/>
      <c r="G13" s="314"/>
      <c r="H13" s="533"/>
      <c r="I13" s="268"/>
      <c r="J13" s="269">
        <v>5</v>
      </c>
    </row>
    <row r="14" spans="1:12" ht="24" customHeight="1" x14ac:dyDescent="0.35">
      <c r="A14" s="830"/>
      <c r="B14" s="71"/>
      <c r="C14" s="63"/>
      <c r="D14" s="271">
        <f>E14/Calcoli!K26</f>
        <v>0</v>
      </c>
      <c r="E14" s="92"/>
      <c r="F14" s="828"/>
      <c r="G14" s="314"/>
      <c r="H14" s="535"/>
      <c r="I14" s="268"/>
      <c r="J14" s="269">
        <v>6</v>
      </c>
    </row>
    <row r="15" spans="1:12" ht="24" customHeight="1" thickBot="1" x14ac:dyDescent="0.4">
      <c r="A15" s="830"/>
      <c r="B15" s="14" t="s">
        <v>66</v>
      </c>
      <c r="C15" s="262"/>
      <c r="D15" s="271">
        <f>E15/Calcoli!K26</f>
        <v>0</v>
      </c>
      <c r="E15" s="272">
        <f>SUM(E9:E14)</f>
        <v>0</v>
      </c>
      <c r="F15" s="273">
        <f>Calcoli!G7</f>
        <v>690</v>
      </c>
      <c r="G15" s="274">
        <f>SUM(G9:G14)</f>
        <v>0</v>
      </c>
      <c r="H15" s="535"/>
      <c r="I15" s="268"/>
      <c r="J15" s="269">
        <v>7</v>
      </c>
      <c r="K15" s="275"/>
    </row>
    <row r="16" spans="1:12" ht="24" customHeight="1" thickTop="1" x14ac:dyDescent="0.3">
      <c r="A16" s="835" t="s">
        <v>76</v>
      </c>
      <c r="B16" s="9" t="s">
        <v>248</v>
      </c>
      <c r="C16" s="518"/>
      <c r="D16" s="257">
        <f>E16/Calcoli!K26</f>
        <v>0</v>
      </c>
      <c r="E16" s="209"/>
      <c r="F16" s="453">
        <f>0.8*Calcoli!G4</f>
        <v>2560</v>
      </c>
      <c r="G16" s="313"/>
      <c r="H16" s="536"/>
      <c r="I16" s="251"/>
      <c r="J16" s="276"/>
    </row>
    <row r="17" spans="1:13" ht="24" customHeight="1" x14ac:dyDescent="0.3">
      <c r="A17" s="836"/>
      <c r="B17" s="10" t="s">
        <v>79</v>
      </c>
      <c r="C17" s="517"/>
      <c r="D17" s="261">
        <f>E17/Calcoli!K26</f>
        <v>0</v>
      </c>
      <c r="E17" s="210"/>
      <c r="F17" s="454">
        <f>Calcoli!G12</f>
        <v>1920</v>
      </c>
      <c r="G17" s="703"/>
      <c r="H17" s="537"/>
      <c r="I17" s="251"/>
      <c r="J17" s="277"/>
    </row>
    <row r="18" spans="1:13" ht="24" customHeight="1" thickBot="1" x14ac:dyDescent="0.3">
      <c r="A18" s="837"/>
      <c r="B18" s="12" t="s">
        <v>66</v>
      </c>
      <c r="C18" s="278"/>
      <c r="D18" s="263">
        <f>E18/Calcoli!K26</f>
        <v>0</v>
      </c>
      <c r="E18" s="238">
        <f>SUM(E16:E17)</f>
        <v>0</v>
      </c>
      <c r="F18" s="279">
        <f>SUM(F16:F17)</f>
        <v>4480</v>
      </c>
      <c r="G18" s="704">
        <f>SUM(G16:G17)</f>
        <v>0</v>
      </c>
      <c r="H18" s="538"/>
      <c r="I18" s="251"/>
    </row>
    <row r="19" spans="1:13" ht="31.5" customHeight="1" thickTop="1" thickBot="1" x14ac:dyDescent="0.35">
      <c r="A19" s="539" t="s">
        <v>80</v>
      </c>
      <c r="B19" s="280" t="s">
        <v>92</v>
      </c>
      <c r="C19" s="516"/>
      <c r="D19" s="281">
        <f>E19/Calcoli!K26</f>
        <v>0</v>
      </c>
      <c r="E19" s="67"/>
      <c r="F19" s="282">
        <f>Calcoli!N25</f>
        <v>4805</v>
      </c>
      <c r="G19" s="330"/>
      <c r="H19" s="540"/>
      <c r="I19" s="251"/>
      <c r="J19" s="277"/>
    </row>
    <row r="20" spans="1:13" ht="31.5" customHeight="1" thickTop="1" thickBot="1" x14ac:dyDescent="0.3">
      <c r="A20" s="539" t="s">
        <v>94</v>
      </c>
      <c r="B20" s="280" t="s">
        <v>96</v>
      </c>
      <c r="C20" s="516"/>
      <c r="D20" s="281">
        <f>E20/Calcoli!K26</f>
        <v>0</v>
      </c>
      <c r="E20" s="68"/>
      <c r="F20" s="283">
        <f>1.7*Calcoli!N6</f>
        <v>0</v>
      </c>
      <c r="G20" s="331"/>
      <c r="H20" s="540"/>
      <c r="I20" s="251"/>
      <c r="J20" s="284"/>
      <c r="K20" s="285"/>
    </row>
    <row r="21" spans="1:13" ht="31.5" customHeight="1" thickTop="1" thickBot="1" x14ac:dyDescent="0.3">
      <c r="A21" s="541"/>
      <c r="B21" s="252" t="s">
        <v>116</v>
      </c>
      <c r="C21" s="286" t="s">
        <v>117</v>
      </c>
      <c r="D21" s="287" t="s">
        <v>118</v>
      </c>
      <c r="E21" s="288" t="s">
        <v>58</v>
      </c>
      <c r="F21" s="318" t="s">
        <v>228</v>
      </c>
      <c r="G21" s="319" t="s">
        <v>120</v>
      </c>
      <c r="H21" s="542" t="s">
        <v>60</v>
      </c>
      <c r="I21" s="311"/>
      <c r="J21" s="289"/>
      <c r="K21" s="289"/>
      <c r="L21" s="290"/>
      <c r="M21" s="291"/>
    </row>
    <row r="22" spans="1:13" ht="33.65" customHeight="1" thickTop="1" x14ac:dyDescent="0.25">
      <c r="A22" s="821" t="s">
        <v>121</v>
      </c>
      <c r="B22" s="292" t="s">
        <v>122</v>
      </c>
      <c r="C22" s="518"/>
      <c r="D22" s="257">
        <f>E22/Calcoli!K26</f>
        <v>0</v>
      </c>
      <c r="E22" s="209"/>
      <c r="F22" s="455">
        <f>Fatturate!F42</f>
        <v>0</v>
      </c>
      <c r="G22" s="700"/>
      <c r="H22" s="536"/>
      <c r="I22" s="251"/>
      <c r="J22" s="284"/>
      <c r="K22" s="285"/>
    </row>
    <row r="23" spans="1:13" ht="33.65" customHeight="1" x14ac:dyDescent="0.25">
      <c r="A23" s="822"/>
      <c r="B23" s="31" t="s">
        <v>123</v>
      </c>
      <c r="C23" s="517"/>
      <c r="D23" s="261">
        <f>E23/Calcoli!K26</f>
        <v>0</v>
      </c>
      <c r="E23" s="210"/>
      <c r="F23" s="456">
        <f>Fatturate!F43</f>
        <v>0</v>
      </c>
      <c r="G23" s="701"/>
      <c r="H23" s="537"/>
      <c r="I23" s="251"/>
      <c r="J23" s="284"/>
      <c r="K23" s="285"/>
    </row>
    <row r="24" spans="1:13" ht="33.65" customHeight="1" x14ac:dyDescent="0.25">
      <c r="A24" s="822"/>
      <c r="B24" s="31" t="s">
        <v>124</v>
      </c>
      <c r="C24" s="517"/>
      <c r="D24" s="261">
        <f>E24/Calcoli!K26</f>
        <v>0</v>
      </c>
      <c r="E24" s="210"/>
      <c r="F24" s="456">
        <f>Fatturate!F44</f>
        <v>0</v>
      </c>
      <c r="G24" s="701"/>
      <c r="H24" s="537"/>
      <c r="I24" s="251"/>
      <c r="J24" s="284"/>
      <c r="K24" s="285"/>
    </row>
    <row r="25" spans="1:13" ht="33.65" customHeight="1" x14ac:dyDescent="0.25">
      <c r="A25" s="822"/>
      <c r="B25" s="31" t="s">
        <v>125</v>
      </c>
      <c r="C25" s="517"/>
      <c r="D25" s="261">
        <f>E25/Calcoli!K26</f>
        <v>0</v>
      </c>
      <c r="E25" s="210"/>
      <c r="F25" s="456">
        <f>Fatturate!F45</f>
        <v>0</v>
      </c>
      <c r="G25" s="701"/>
      <c r="H25" s="537"/>
      <c r="I25" s="251"/>
      <c r="J25" s="284"/>
      <c r="K25" s="285"/>
    </row>
    <row r="26" spans="1:13" ht="31.5" customHeight="1" x14ac:dyDescent="0.25">
      <c r="A26" s="822"/>
      <c r="B26" s="299" t="s">
        <v>126</v>
      </c>
      <c r="C26" s="517"/>
      <c r="D26" s="261">
        <f>E26/Calcoli!K26</f>
        <v>0</v>
      </c>
      <c r="E26" s="210"/>
      <c r="F26" s="457"/>
      <c r="G26" s="701"/>
      <c r="H26" s="537"/>
      <c r="I26" s="251"/>
      <c r="J26" s="284"/>
      <c r="K26" s="285"/>
    </row>
    <row r="27" spans="1:13" ht="26.15" customHeight="1" x14ac:dyDescent="0.25">
      <c r="A27" s="822"/>
      <c r="B27" s="299" t="s">
        <v>126</v>
      </c>
      <c r="C27" s="517"/>
      <c r="D27" s="261">
        <f>E27/Calcoli!K26</f>
        <v>0</v>
      </c>
      <c r="E27" s="210"/>
      <c r="F27" s="457"/>
      <c r="G27" s="701"/>
      <c r="H27" s="537"/>
      <c r="I27" s="251"/>
      <c r="J27" s="284"/>
      <c r="K27" s="285"/>
    </row>
    <row r="28" spans="1:13" ht="23.15" customHeight="1" x14ac:dyDescent="0.25">
      <c r="A28" s="822"/>
      <c r="B28" s="299" t="s">
        <v>126</v>
      </c>
      <c r="C28" s="517"/>
      <c r="D28" s="261">
        <f>E28/Calcoli!K26</f>
        <v>0</v>
      </c>
      <c r="E28" s="210"/>
      <c r="F28" s="457"/>
      <c r="G28" s="701"/>
      <c r="H28" s="537"/>
      <c r="I28" s="251"/>
      <c r="J28" s="284"/>
      <c r="K28" s="285"/>
    </row>
    <row r="29" spans="1:13" ht="30.65" customHeight="1" x14ac:dyDescent="0.25">
      <c r="A29" s="822"/>
      <c r="B29" s="300" t="s">
        <v>126</v>
      </c>
      <c r="C29" s="519"/>
      <c r="D29" s="271">
        <f>E29/Calcoli!K26</f>
        <v>0</v>
      </c>
      <c r="E29" s="211"/>
      <c r="F29" s="458"/>
      <c r="G29" s="702"/>
      <c r="H29" s="543"/>
      <c r="I29" s="251"/>
      <c r="J29" s="284"/>
      <c r="K29" s="285"/>
    </row>
    <row r="30" spans="1:13" ht="19" customHeight="1" thickBot="1" x14ac:dyDescent="0.35">
      <c r="A30" s="823"/>
      <c r="B30" s="242" t="s">
        <v>249</v>
      </c>
      <c r="C30" s="293"/>
      <c r="D30" s="226">
        <f>E30/Calcoli!K26</f>
        <v>0</v>
      </c>
      <c r="E30" s="238">
        <f>SUM(E22:E29)</f>
        <v>0</v>
      </c>
      <c r="F30" s="316"/>
      <c r="G30" s="317">
        <f>G22+G23+G24+G25+G26+G27+G28+G29</f>
        <v>0</v>
      </c>
      <c r="H30" s="544"/>
      <c r="I30" s="251"/>
    </row>
    <row r="31" spans="1:13" ht="34" customHeight="1" thickTop="1" x14ac:dyDescent="0.35">
      <c r="A31" s="847" t="s">
        <v>250</v>
      </c>
      <c r="B31" s="848"/>
      <c r="C31" s="848"/>
      <c r="D31" s="848"/>
      <c r="E31" s="848"/>
      <c r="F31" s="848"/>
      <c r="G31" s="848"/>
      <c r="H31" s="849"/>
      <c r="I31" s="251"/>
    </row>
    <row r="32" spans="1:13" ht="15.65" customHeight="1" x14ac:dyDescent="0.3">
      <c r="A32" s="524"/>
      <c r="B32" s="545"/>
      <c r="C32" s="545"/>
      <c r="D32" s="545"/>
      <c r="E32" s="545"/>
      <c r="F32" s="545"/>
      <c r="G32" s="545"/>
      <c r="H32" s="546" t="str">
        <f>Calcoli!J27</f>
        <v>AM_Ver_SR04_2023</v>
      </c>
      <c r="I32" s="247"/>
    </row>
    <row r="33" spans="1:9" x14ac:dyDescent="0.25">
      <c r="A33" s="547"/>
      <c r="B33" s="548"/>
      <c r="C33" s="840">
        <v>2</v>
      </c>
      <c r="D33" s="549"/>
      <c r="E33" s="549"/>
      <c r="F33" s="549"/>
      <c r="G33" s="549"/>
      <c r="H33" s="550"/>
      <c r="I33" s="247"/>
    </row>
    <row r="34" spans="1:9" ht="13" x14ac:dyDescent="0.25">
      <c r="A34" s="551" t="s">
        <v>127</v>
      </c>
      <c r="B34" s="552"/>
      <c r="C34" s="841"/>
      <c r="D34" s="553" t="s">
        <v>128</v>
      </c>
      <c r="E34" s="554"/>
      <c r="F34" s="554"/>
      <c r="G34" s="554"/>
      <c r="H34" s="555"/>
      <c r="I34" s="247"/>
    </row>
    <row r="35" spans="1:9" ht="24.75" customHeight="1" x14ac:dyDescent="0.25">
      <c r="A35" s="556" t="s">
        <v>129</v>
      </c>
      <c r="B35" s="557"/>
      <c r="C35" s="557"/>
      <c r="D35" s="844" t="s">
        <v>130</v>
      </c>
      <c r="E35" s="845"/>
      <c r="F35" s="846"/>
      <c r="G35" s="301" t="s">
        <v>131</v>
      </c>
      <c r="H35" s="558" t="s">
        <v>51</v>
      </c>
      <c r="I35" s="247"/>
    </row>
    <row r="36" spans="1:9" ht="15.5" x14ac:dyDescent="0.25">
      <c r="A36" s="838" t="s">
        <v>257</v>
      </c>
      <c r="B36" s="839"/>
      <c r="C36" s="294" t="s">
        <v>132</v>
      </c>
      <c r="D36" s="842"/>
      <c r="E36" s="843"/>
      <c r="F36" s="843"/>
      <c r="G36" s="295">
        <v>1</v>
      </c>
      <c r="H36" s="559"/>
      <c r="I36" s="247"/>
    </row>
    <row r="37" spans="1:9" ht="15.5" x14ac:dyDescent="0.25">
      <c r="A37" s="833" t="s">
        <v>258</v>
      </c>
      <c r="B37" s="834"/>
      <c r="C37" s="294" t="s">
        <v>132</v>
      </c>
      <c r="D37" s="831"/>
      <c r="E37" s="832"/>
      <c r="F37" s="832"/>
      <c r="G37" s="295">
        <v>2</v>
      </c>
      <c r="H37" s="559"/>
      <c r="I37" s="247"/>
    </row>
    <row r="38" spans="1:9" ht="15.5" x14ac:dyDescent="0.35">
      <c r="A38" s="824"/>
      <c r="B38" s="825"/>
      <c r="C38" s="294" t="s">
        <v>132</v>
      </c>
      <c r="D38" s="832"/>
      <c r="E38" s="832"/>
      <c r="F38" s="832"/>
      <c r="G38" s="296">
        <v>3</v>
      </c>
      <c r="H38" s="560"/>
      <c r="I38" s="247"/>
    </row>
    <row r="39" spans="1:9" ht="15.5" x14ac:dyDescent="0.35">
      <c r="A39" s="850"/>
      <c r="B39" s="851"/>
      <c r="C39" s="294" t="s">
        <v>132</v>
      </c>
      <c r="D39" s="831"/>
      <c r="E39" s="832"/>
      <c r="F39" s="832"/>
      <c r="G39" s="295">
        <v>4</v>
      </c>
      <c r="H39" s="559"/>
      <c r="I39" s="247"/>
    </row>
    <row r="40" spans="1:9" ht="15.5" x14ac:dyDescent="0.35">
      <c r="A40" s="824"/>
      <c r="B40" s="825"/>
      <c r="C40" s="294" t="s">
        <v>132</v>
      </c>
      <c r="D40" s="831"/>
      <c r="E40" s="832"/>
      <c r="F40" s="832"/>
      <c r="G40" s="295">
        <v>5</v>
      </c>
      <c r="H40" s="559"/>
      <c r="I40" s="247"/>
    </row>
    <row r="41" spans="1:9" ht="15.5" x14ac:dyDescent="0.35">
      <c r="A41" s="939"/>
      <c r="B41" s="940"/>
      <c r="C41" s="294" t="s">
        <v>132</v>
      </c>
      <c r="D41" s="831"/>
      <c r="E41" s="832"/>
      <c r="F41" s="832"/>
      <c r="G41" s="295">
        <v>6</v>
      </c>
      <c r="H41" s="559"/>
      <c r="I41" s="247"/>
    </row>
    <row r="42" spans="1:9" ht="15.5" x14ac:dyDescent="0.25">
      <c r="A42" s="833"/>
      <c r="B42" s="834"/>
      <c r="C42" s="294" t="s">
        <v>132</v>
      </c>
      <c r="D42" s="831"/>
      <c r="E42" s="832"/>
      <c r="F42" s="832"/>
      <c r="G42" s="295">
        <v>7</v>
      </c>
      <c r="H42" s="559"/>
      <c r="I42" s="247"/>
    </row>
    <row r="43" spans="1:9" ht="21" customHeight="1" x14ac:dyDescent="0.25">
      <c r="A43" s="561"/>
      <c r="B43" s="247"/>
      <c r="C43" s="247"/>
      <c r="D43" s="247"/>
      <c r="E43" s="247"/>
      <c r="F43" s="247"/>
      <c r="G43" s="247"/>
      <c r="H43" s="562"/>
      <c r="I43" s="247"/>
    </row>
    <row r="44" spans="1:9" ht="19.5" customHeight="1" x14ac:dyDescent="0.35">
      <c r="A44" s="563"/>
      <c r="B44" s="564"/>
      <c r="H44" s="585" t="str">
        <f>Calcoli!J27</f>
        <v>AM_Ver_SR04_2023</v>
      </c>
    </row>
    <row r="45" spans="1:9" ht="15" customHeight="1" x14ac:dyDescent="0.25">
      <c r="A45" s="563"/>
      <c r="H45" s="565"/>
    </row>
    <row r="46" spans="1:9" ht="20.5" customHeight="1" x14ac:dyDescent="0.35">
      <c r="A46" s="563"/>
      <c r="C46" s="566"/>
      <c r="E46" s="566"/>
      <c r="F46" s="566"/>
      <c r="G46" s="566"/>
      <c r="H46" s="565"/>
    </row>
    <row r="47" spans="1:9" x14ac:dyDescent="0.25">
      <c r="A47" s="563"/>
      <c r="H47" s="565"/>
    </row>
    <row r="48" spans="1:9" x14ac:dyDescent="0.25">
      <c r="A48" s="563"/>
      <c r="H48" s="565"/>
    </row>
    <row r="49" spans="1:8" x14ac:dyDescent="0.25">
      <c r="A49" s="563"/>
      <c r="H49" s="565"/>
    </row>
    <row r="50" spans="1:8" ht="11" thickBot="1" x14ac:dyDescent="0.3">
      <c r="A50" s="567"/>
      <c r="B50" s="568"/>
      <c r="C50" s="568"/>
      <c r="D50" s="568"/>
      <c r="E50" s="568"/>
      <c r="F50" s="568"/>
      <c r="G50" s="568"/>
      <c r="H50" s="569"/>
    </row>
    <row r="51" spans="1:8" ht="11" thickTop="1" x14ac:dyDescent="0.25"/>
  </sheetData>
  <sheetProtection algorithmName="SHA-512" hashValue="A42BDaZvIvaDg8+oX3kBy5Hd9T4YWw1FFZivHkcwHAr8ecpWBzFCQBDHa6NWOLge+I1kmcPehXxWsSUtdqm/hg==" saltValue="bqQoFaEp+yvCPi8/Zq+W1Q==" spinCount="100000" sheet="1" objects="1" scenarios="1"/>
  <mergeCells count="27">
    <mergeCell ref="D41:F41"/>
    <mergeCell ref="D42:F42"/>
    <mergeCell ref="A42:B42"/>
    <mergeCell ref="A16:A18"/>
    <mergeCell ref="D40:F40"/>
    <mergeCell ref="A36:B36"/>
    <mergeCell ref="A37:B37"/>
    <mergeCell ref="C33:C34"/>
    <mergeCell ref="D36:F36"/>
    <mergeCell ref="D37:F37"/>
    <mergeCell ref="D38:F38"/>
    <mergeCell ref="D39:F39"/>
    <mergeCell ref="D35:F35"/>
    <mergeCell ref="A31:H31"/>
    <mergeCell ref="A39:B39"/>
    <mergeCell ref="A41:B41"/>
    <mergeCell ref="A22:A30"/>
    <mergeCell ref="A40:B40"/>
    <mergeCell ref="A38:B38"/>
    <mergeCell ref="G3:H3"/>
    <mergeCell ref="F9:F14"/>
    <mergeCell ref="A9:A15"/>
    <mergeCell ref="D2:E2"/>
    <mergeCell ref="A2:C2"/>
    <mergeCell ref="A1:C1"/>
    <mergeCell ref="D1:E1"/>
    <mergeCell ref="A5:A7"/>
  </mergeCells>
  <dataValidations count="2">
    <dataValidation type="list" allowBlank="1" showInputMessage="1" showErrorMessage="1" sqref="C8:C12" xr:uid="{3D1BCDB9-44E1-49F9-8192-A20F815D9237}">
      <formula1>$J$8:$J$15</formula1>
    </dataValidation>
    <dataValidation type="list" allowBlank="1" showInputMessage="1" showErrorMessage="1" sqref="C13:C14" xr:uid="{FD785A1C-4E87-445D-B276-4D425105974C}">
      <formula1>$J$8:$J$16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0990-C700-445B-AE60-C4575E7B16FB}">
  <sheetPr>
    <tabColor theme="8" tint="0.59999389629810485"/>
    <pageSetUpPr fitToPage="1"/>
  </sheetPr>
  <dimension ref="A1:K30"/>
  <sheetViews>
    <sheetView topLeftCell="A8" zoomScale="90" zoomScaleNormal="90" workbookViewId="0">
      <selection sqref="A1:E1"/>
    </sheetView>
  </sheetViews>
  <sheetFormatPr defaultRowHeight="14.5" x14ac:dyDescent="0.35"/>
  <cols>
    <col min="1" max="1" width="25.90625" customWidth="1"/>
    <col min="2" max="2" width="20.453125" customWidth="1"/>
    <col min="3" max="3" width="19" customWidth="1"/>
    <col min="4" max="4" width="17.26953125" customWidth="1"/>
    <col min="5" max="5" width="18" customWidth="1"/>
    <col min="6" max="6" width="18.1796875" customWidth="1"/>
    <col min="7" max="7" width="16" customWidth="1"/>
    <col min="8" max="8" width="33.453125" customWidth="1"/>
    <col min="9" max="9" width="8.08984375" customWidth="1"/>
    <col min="11" max="11" width="0" hidden="1" customWidth="1"/>
  </cols>
  <sheetData>
    <row r="1" spans="1:11" ht="32.5" customHeight="1" thickBot="1" x14ac:dyDescent="0.4">
      <c r="A1" s="861" t="s">
        <v>277</v>
      </c>
      <c r="B1" s="862"/>
      <c r="C1" s="862"/>
      <c r="D1" s="862"/>
      <c r="E1" s="862"/>
      <c r="F1" s="412" t="s">
        <v>114</v>
      </c>
      <c r="G1" s="675">
        <v>1</v>
      </c>
      <c r="H1" s="612"/>
      <c r="I1" s="613"/>
    </row>
    <row r="2" spans="1:11" ht="17.5" customHeight="1" thickTop="1" x14ac:dyDescent="0.35">
      <c r="A2" s="614"/>
      <c r="B2" s="223" t="s">
        <v>50</v>
      </c>
      <c r="C2" s="224">
        <f>Descrizione!C2</f>
        <v>12345678</v>
      </c>
      <c r="D2" s="876"/>
      <c r="E2" s="877"/>
      <c r="F2" s="878" t="s">
        <v>51</v>
      </c>
      <c r="G2" s="879"/>
      <c r="H2" s="880"/>
      <c r="I2" s="615"/>
    </row>
    <row r="3" spans="1:11" ht="31.5" customHeight="1" thickBot="1" x14ac:dyDescent="0.4">
      <c r="A3" s="616"/>
      <c r="B3" s="212" t="s">
        <v>133</v>
      </c>
      <c r="C3" s="212" t="s">
        <v>58</v>
      </c>
      <c r="D3" s="225" t="s">
        <v>229</v>
      </c>
      <c r="E3" s="872" t="s">
        <v>230</v>
      </c>
      <c r="F3" s="501" t="s">
        <v>134</v>
      </c>
      <c r="G3" s="501" t="s">
        <v>135</v>
      </c>
      <c r="H3" s="501" t="s">
        <v>136</v>
      </c>
      <c r="I3" s="615"/>
      <c r="J3" s="500"/>
    </row>
    <row r="4" spans="1:11" ht="17.149999999999999" customHeight="1" thickTop="1" x14ac:dyDescent="0.35">
      <c r="A4" s="744" t="s">
        <v>61</v>
      </c>
      <c r="B4" s="5" t="s">
        <v>137</v>
      </c>
      <c r="C4" s="239">
        <f>Economia!E7</f>
        <v>0</v>
      </c>
      <c r="D4" s="853"/>
      <c r="E4" s="873"/>
      <c r="F4" s="486">
        <f>Economia!G7</f>
        <v>0</v>
      </c>
      <c r="G4" s="706"/>
      <c r="H4" s="468"/>
      <c r="I4" s="615"/>
    </row>
    <row r="5" spans="1:11" ht="17.149999999999999" customHeight="1" thickBot="1" x14ac:dyDescent="0.4">
      <c r="A5" s="745"/>
      <c r="B5" s="1" t="s">
        <v>138</v>
      </c>
      <c r="C5" s="232">
        <f>Fatturate!J7</f>
        <v>0</v>
      </c>
      <c r="D5" s="854"/>
      <c r="E5" s="874"/>
      <c r="F5" s="487">
        <f>Fatturate!L7</f>
        <v>0</v>
      </c>
      <c r="G5" s="707"/>
      <c r="H5" s="475"/>
      <c r="I5" s="615"/>
    </row>
    <row r="6" spans="1:11" ht="17.149999999999999" customHeight="1" thickTop="1" thickBot="1" x14ac:dyDescent="0.4">
      <c r="A6" s="883"/>
      <c r="B6" s="3" t="s">
        <v>66</v>
      </c>
      <c r="C6" s="430">
        <f>SUM(C4:C5)</f>
        <v>0</v>
      </c>
      <c r="D6" s="431">
        <f>Fatturate!K7</f>
        <v>0</v>
      </c>
      <c r="E6" s="440">
        <f>Fatturate!K4+Fatturate!K5</f>
        <v>0</v>
      </c>
      <c r="F6" s="437">
        <f>SUM(F4:F5)</f>
        <v>0</v>
      </c>
      <c r="G6" s="476">
        <f>G4+G5</f>
        <v>0</v>
      </c>
      <c r="H6" s="470"/>
      <c r="I6" s="615"/>
    </row>
    <row r="7" spans="1:11" ht="24" customHeight="1" thickTop="1" x14ac:dyDescent="0.35">
      <c r="A7" s="859" t="s">
        <v>240</v>
      </c>
      <c r="B7" s="25" t="s">
        <v>137</v>
      </c>
      <c r="C7" s="239">
        <f>Economia!E8</f>
        <v>0</v>
      </c>
      <c r="D7" s="875"/>
      <c r="E7" s="465"/>
      <c r="F7" s="505">
        <f>Economia!G8</f>
        <v>0</v>
      </c>
      <c r="G7" s="708"/>
      <c r="H7" s="435"/>
      <c r="I7" s="615"/>
    </row>
    <row r="8" spans="1:11" ht="21" customHeight="1" x14ac:dyDescent="0.35">
      <c r="A8" s="860"/>
      <c r="B8" s="429" t="s">
        <v>139</v>
      </c>
      <c r="C8" s="241">
        <f>Fatturate!J8</f>
        <v>0</v>
      </c>
      <c r="D8" s="854"/>
      <c r="E8" s="466"/>
      <c r="F8" s="506">
        <f>Fatturate!L8</f>
        <v>0</v>
      </c>
      <c r="G8" s="709"/>
      <c r="H8" s="439"/>
      <c r="I8" s="615"/>
    </row>
    <row r="9" spans="1:11" ht="26" customHeight="1" thickBot="1" x14ac:dyDescent="0.4">
      <c r="A9" s="802"/>
      <c r="B9" s="237" t="s">
        <v>66</v>
      </c>
      <c r="C9" s="238">
        <f>C7+C8</f>
        <v>0</v>
      </c>
      <c r="D9" s="436">
        <f>Calcoli!N32</f>
        <v>793.83699999999999</v>
      </c>
      <c r="E9" s="467"/>
      <c r="F9" s="437">
        <f>F7+F8</f>
        <v>0</v>
      </c>
      <c r="G9" s="437">
        <f>G7+G8</f>
        <v>0</v>
      </c>
      <c r="H9" s="438"/>
      <c r="I9" s="615"/>
    </row>
    <row r="10" spans="1:11" ht="17.149999999999999" customHeight="1" thickTop="1" x14ac:dyDescent="0.35">
      <c r="A10" s="747" t="s">
        <v>67</v>
      </c>
      <c r="B10" s="227" t="s">
        <v>137</v>
      </c>
      <c r="C10" s="239">
        <f>Economia!E15</f>
        <v>0</v>
      </c>
      <c r="D10" s="855"/>
      <c r="E10" s="432"/>
      <c r="F10" s="486">
        <f>Economia!G15</f>
        <v>0</v>
      </c>
      <c r="G10" s="710"/>
      <c r="H10" s="468"/>
      <c r="I10" s="615"/>
    </row>
    <row r="11" spans="1:11" ht="17.149999999999999" customHeight="1" x14ac:dyDescent="0.35">
      <c r="A11" s="748"/>
      <c r="B11" s="228" t="s">
        <v>139</v>
      </c>
      <c r="C11" s="232">
        <f>Fatturate!J17</f>
        <v>0</v>
      </c>
      <c r="D11" s="885"/>
      <c r="E11" s="617"/>
      <c r="F11" s="507">
        <f>Fatturate!L17</f>
        <v>0</v>
      </c>
      <c r="G11" s="711"/>
      <c r="H11" s="469"/>
      <c r="I11" s="615"/>
      <c r="K11">
        <v>1</v>
      </c>
    </row>
    <row r="12" spans="1:11" ht="17.149999999999999" customHeight="1" thickBot="1" x14ac:dyDescent="0.4">
      <c r="A12" s="884"/>
      <c r="B12" s="12" t="s">
        <v>66</v>
      </c>
      <c r="C12" s="238">
        <f>SUM(C10:C11)</f>
        <v>0</v>
      </c>
      <c r="D12" s="436">
        <f>Calcoli!G7</f>
        <v>690</v>
      </c>
      <c r="E12" s="433"/>
      <c r="F12" s="434">
        <f>SUM(F10:F11)</f>
        <v>0</v>
      </c>
      <c r="G12" s="434">
        <f>G10+G11</f>
        <v>0</v>
      </c>
      <c r="H12" s="470"/>
      <c r="I12" s="615"/>
      <c r="K12">
        <v>2</v>
      </c>
    </row>
    <row r="13" spans="1:11" ht="17.149999999999999" customHeight="1" thickTop="1" x14ac:dyDescent="0.35">
      <c r="A13" s="749" t="s">
        <v>76</v>
      </c>
      <c r="B13" s="229" t="s">
        <v>137</v>
      </c>
      <c r="C13" s="239">
        <f>Economia!E18</f>
        <v>0</v>
      </c>
      <c r="D13" s="855"/>
      <c r="E13" s="432"/>
      <c r="F13" s="486">
        <f>Economia!G18</f>
        <v>0</v>
      </c>
      <c r="G13" s="710"/>
      <c r="H13" s="468"/>
      <c r="I13" s="615"/>
      <c r="K13">
        <v>3</v>
      </c>
    </row>
    <row r="14" spans="1:11" ht="17.149999999999999" customHeight="1" x14ac:dyDescent="0.35">
      <c r="A14" s="750"/>
      <c r="B14" s="230" t="s">
        <v>139</v>
      </c>
      <c r="C14" s="231">
        <f>Fatturate!J21</f>
        <v>6600</v>
      </c>
      <c r="D14" s="856"/>
      <c r="E14" s="617"/>
      <c r="F14" s="507">
        <f>Fatturate!L21</f>
        <v>0</v>
      </c>
      <c r="G14" s="711"/>
      <c r="H14" s="469"/>
      <c r="I14" s="615"/>
    </row>
    <row r="15" spans="1:11" ht="17.149999999999999" customHeight="1" thickBot="1" x14ac:dyDescent="0.4">
      <c r="A15" s="751"/>
      <c r="B15" s="12" t="s">
        <v>66</v>
      </c>
      <c r="C15" s="238">
        <f>SUM(C13:C14)</f>
        <v>6600</v>
      </c>
      <c r="D15" s="436">
        <f>Calcoli!G31</f>
        <v>8640</v>
      </c>
      <c r="E15" s="433"/>
      <c r="F15" s="434">
        <f>SUM(F13:F14)</f>
        <v>0</v>
      </c>
      <c r="G15" s="434">
        <f>G13+G14</f>
        <v>0</v>
      </c>
      <c r="H15" s="470"/>
      <c r="I15" s="615"/>
    </row>
    <row r="16" spans="1:11" ht="17.149999999999999" customHeight="1" thickTop="1" x14ac:dyDescent="0.35">
      <c r="A16" s="799" t="s">
        <v>80</v>
      </c>
      <c r="B16" s="25" t="s">
        <v>140</v>
      </c>
      <c r="C16" s="239">
        <f>Economia!E19</f>
        <v>0</v>
      </c>
      <c r="D16" s="857"/>
      <c r="E16" s="432"/>
      <c r="F16" s="486">
        <f>Economia!G19</f>
        <v>0</v>
      </c>
      <c r="G16" s="706"/>
      <c r="H16" s="468"/>
      <c r="I16" s="615"/>
    </row>
    <row r="17" spans="1:9" ht="17.149999999999999" customHeight="1" x14ac:dyDescent="0.35">
      <c r="A17" s="800"/>
      <c r="B17" s="24" t="s">
        <v>139</v>
      </c>
      <c r="C17" s="232">
        <f>Fatturate!J37</f>
        <v>0</v>
      </c>
      <c r="D17" s="858"/>
      <c r="E17" s="617"/>
      <c r="F17" s="507">
        <f>Fatturate!L37</f>
        <v>0</v>
      </c>
      <c r="G17" s="712"/>
      <c r="H17" s="469"/>
      <c r="I17" s="615"/>
    </row>
    <row r="18" spans="1:9" ht="17.149999999999999" customHeight="1" thickBot="1" x14ac:dyDescent="0.4">
      <c r="A18" s="802"/>
      <c r="B18" s="233" t="s">
        <v>66</v>
      </c>
      <c r="C18" s="238">
        <f>SUM(C16:C17)</f>
        <v>0</v>
      </c>
      <c r="D18" s="436">
        <f>Calcoli!G27</f>
        <v>8500</v>
      </c>
      <c r="E18" s="433"/>
      <c r="F18" s="434">
        <f>SUM(F16:F17)</f>
        <v>0</v>
      </c>
      <c r="G18" s="471">
        <f>G16+G17</f>
        <v>0</v>
      </c>
      <c r="H18" s="470"/>
      <c r="I18" s="615"/>
    </row>
    <row r="19" spans="1:9" ht="17.149999999999999" customHeight="1" thickTop="1" x14ac:dyDescent="0.35">
      <c r="A19" s="803" t="s">
        <v>94</v>
      </c>
      <c r="B19" s="227" t="s">
        <v>141</v>
      </c>
      <c r="C19" s="234">
        <f>Economia!E20</f>
        <v>0</v>
      </c>
      <c r="D19" s="857"/>
      <c r="E19" s="432"/>
      <c r="F19" s="486">
        <f>Economia!G20</f>
        <v>0</v>
      </c>
      <c r="G19" s="706"/>
      <c r="H19" s="468"/>
      <c r="I19" s="615"/>
    </row>
    <row r="20" spans="1:9" ht="17.149999999999999" customHeight="1" x14ac:dyDescent="0.35">
      <c r="A20" s="804"/>
      <c r="B20" s="235" t="s">
        <v>139</v>
      </c>
      <c r="C20" s="236">
        <f>Fatturate!J40</f>
        <v>0</v>
      </c>
      <c r="D20" s="858"/>
      <c r="E20" s="617"/>
      <c r="F20" s="507">
        <f>Fatturate!L40</f>
        <v>0</v>
      </c>
      <c r="G20" s="712"/>
      <c r="H20" s="469"/>
      <c r="I20" s="615"/>
    </row>
    <row r="21" spans="1:9" ht="17.149999999999999" customHeight="1" thickBot="1" x14ac:dyDescent="0.4">
      <c r="A21" s="852"/>
      <c r="B21" s="237" t="s">
        <v>66</v>
      </c>
      <c r="C21" s="238">
        <f>SUM(C19:C20)</f>
        <v>0</v>
      </c>
      <c r="D21" s="441">
        <f>Fatturate!K40</f>
        <v>0</v>
      </c>
      <c r="E21" s="433"/>
      <c r="F21" s="488">
        <f>SUM(F19:F20)</f>
        <v>0</v>
      </c>
      <c r="G21" s="473">
        <f>G19+G20</f>
        <v>0</v>
      </c>
      <c r="H21" s="470"/>
      <c r="I21" s="615"/>
    </row>
    <row r="22" spans="1:9" ht="17.149999999999999" customHeight="1" thickTop="1" x14ac:dyDescent="0.35">
      <c r="A22" s="881" t="s">
        <v>121</v>
      </c>
      <c r="B22" s="472" t="s">
        <v>141</v>
      </c>
      <c r="C22" s="231">
        <f>Economia!E30</f>
        <v>0</v>
      </c>
      <c r="D22" s="870" t="s">
        <v>101</v>
      </c>
      <c r="E22" s="617"/>
      <c r="F22" s="486">
        <f>Economia!G30</f>
        <v>0</v>
      </c>
      <c r="G22" s="706"/>
      <c r="H22" s="435"/>
      <c r="I22" s="615"/>
    </row>
    <row r="23" spans="1:9" ht="17.149999999999999" customHeight="1" x14ac:dyDescent="0.35">
      <c r="A23" s="882"/>
      <c r="B23" s="240" t="s">
        <v>139</v>
      </c>
      <c r="C23" s="241">
        <f>Fatturate!J55</f>
        <v>0</v>
      </c>
      <c r="D23" s="870"/>
      <c r="E23" s="617"/>
      <c r="F23" s="507">
        <f>Fatturate!L55</f>
        <v>0</v>
      </c>
      <c r="G23" s="712"/>
      <c r="H23" s="474"/>
      <c r="I23" s="615"/>
    </row>
    <row r="24" spans="1:9" ht="29.5" customHeight="1" thickBot="1" x14ac:dyDescent="0.4">
      <c r="A24" s="743"/>
      <c r="B24" s="242" t="s">
        <v>66</v>
      </c>
      <c r="C24" s="243">
        <f>SUM(C22:C23)</f>
        <v>0</v>
      </c>
      <c r="D24" s="871"/>
      <c r="E24" s="617"/>
      <c r="F24" s="488">
        <f>F22+F23</f>
        <v>0</v>
      </c>
      <c r="G24" s="473">
        <f>G22+G23</f>
        <v>0</v>
      </c>
      <c r="H24" s="438"/>
      <c r="I24" s="615"/>
    </row>
    <row r="25" spans="1:9" ht="25.5" customHeight="1" thickTop="1" thickBot="1" x14ac:dyDescent="0.4">
      <c r="A25" s="618"/>
      <c r="B25" s="244" t="s">
        <v>142</v>
      </c>
      <c r="C25" s="245">
        <f>C6+C9+C12+C15+C18+C21+C24</f>
        <v>6600</v>
      </c>
      <c r="D25" s="617"/>
      <c r="E25" s="617"/>
      <c r="F25" s="508">
        <f>F6+F9+F12+F15+F18+F21+F24</f>
        <v>0</v>
      </c>
      <c r="G25" s="509">
        <f>G6+G9+G12+G15+G18+G21+G24</f>
        <v>0</v>
      </c>
      <c r="H25" s="868" t="s">
        <v>143</v>
      </c>
      <c r="I25" s="869"/>
    </row>
    <row r="26" spans="1:9" ht="45" customHeight="1" thickTop="1" thickBot="1" x14ac:dyDescent="0.4">
      <c r="A26" s="618"/>
      <c r="B26" s="244" t="s">
        <v>144</v>
      </c>
      <c r="C26" s="245">
        <f>C4+C7+C10+C13+C16+C19+C22</f>
        <v>0</v>
      </c>
      <c r="D26" s="617"/>
      <c r="E26" s="617"/>
      <c r="F26" s="332">
        <f>F12+F9+F15+F18+F21</f>
        <v>0</v>
      </c>
      <c r="G26" s="332">
        <f>G12+G9+G15+G18+G21</f>
        <v>0</v>
      </c>
      <c r="H26" s="866" t="s">
        <v>231</v>
      </c>
      <c r="I26" s="867"/>
    </row>
    <row r="27" spans="1:9" ht="22.5" customHeight="1" thickTop="1" thickBot="1" x14ac:dyDescent="0.4">
      <c r="A27" s="618"/>
      <c r="B27" s="244" t="s">
        <v>145</v>
      </c>
      <c r="C27" s="640">
        <f>C5+C8+C11+C14+C17+C20+C23</f>
        <v>6600</v>
      </c>
      <c r="D27" s="617"/>
      <c r="E27" s="617"/>
      <c r="F27" s="641"/>
      <c r="G27" s="642"/>
      <c r="H27" s="619" t="str">
        <f>Calcoli!J27</f>
        <v>AM_Ver_SR04_2023</v>
      </c>
      <c r="I27" s="615"/>
    </row>
    <row r="28" spans="1:9" ht="31.5" customHeight="1" thickTop="1" x14ac:dyDescent="0.35">
      <c r="A28" s="620"/>
      <c r="B28" s="523" t="s">
        <v>113</v>
      </c>
      <c r="C28" s="863" t="s">
        <v>262</v>
      </c>
      <c r="D28" s="864"/>
      <c r="E28" s="864"/>
      <c r="F28" s="864"/>
      <c r="G28" s="865"/>
      <c r="H28" s="621"/>
      <c r="I28" s="615"/>
    </row>
    <row r="29" spans="1:9" ht="25.5" customHeight="1" x14ac:dyDescent="0.35">
      <c r="A29" s="622"/>
      <c r="B29" s="566" t="s">
        <v>260</v>
      </c>
      <c r="I29" s="623"/>
    </row>
    <row r="30" spans="1:9" ht="69" customHeight="1" thickBot="1" x14ac:dyDescent="0.4">
      <c r="A30" s="624"/>
      <c r="B30" s="644" t="s">
        <v>261</v>
      </c>
      <c r="C30" s="643"/>
      <c r="D30" s="643"/>
      <c r="E30" s="643"/>
      <c r="F30" s="644" t="s">
        <v>43</v>
      </c>
      <c r="G30" s="625"/>
      <c r="H30" s="625"/>
      <c r="I30" s="626"/>
    </row>
  </sheetData>
  <sheetProtection algorithmName="SHA-512" hashValue="uLhgwiI01NH2hIOFYW+kT464DLEuu3ic0rswecTO6Olt3U0wSeXLQ/jU8RrEeJm2qWf1+T0Pq4WRhGbO11RIsw==" saltValue="LMQwb41ewJ2OeDyI8cel3A==" spinCount="100000" sheet="1" objects="1" scenarios="1"/>
  <mergeCells count="21">
    <mergeCell ref="A1:E1"/>
    <mergeCell ref="C28:G28"/>
    <mergeCell ref="H26:I26"/>
    <mergeCell ref="H25:I25"/>
    <mergeCell ref="D22:D24"/>
    <mergeCell ref="E3:E5"/>
    <mergeCell ref="D19:D20"/>
    <mergeCell ref="D7:D8"/>
    <mergeCell ref="D2:E2"/>
    <mergeCell ref="F2:H2"/>
    <mergeCell ref="A22:A24"/>
    <mergeCell ref="A4:A6"/>
    <mergeCell ref="A10:A12"/>
    <mergeCell ref="D10:D11"/>
    <mergeCell ref="A13:A15"/>
    <mergeCell ref="A16:A18"/>
    <mergeCell ref="A19:A21"/>
    <mergeCell ref="D4:D5"/>
    <mergeCell ref="D13:D14"/>
    <mergeCell ref="D16:D17"/>
    <mergeCell ref="A7:A9"/>
  </mergeCells>
  <dataValidations count="1">
    <dataValidation type="list" allowBlank="1" showInputMessage="1" showErrorMessage="1" sqref="G1" xr:uid="{F35C3F3C-BA3A-4928-ABD0-E8CD5CA26FA9}">
      <formula1>$K$11:$K$13</formula1>
    </dataValidation>
  </dataValidations>
  <pageMargins left="0.7" right="0.7" top="0.75" bottom="0.75" header="0.3" footer="0.3"/>
  <pageSetup paperSize="8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D721-9AAB-4A5F-AA18-A0C0A454024B}">
  <sheetPr>
    <tabColor rgb="FFFF0000"/>
  </sheetPr>
  <dimension ref="A1:T43"/>
  <sheetViews>
    <sheetView zoomScale="58" zoomScaleNormal="58" workbookViewId="0">
      <selection activeCell="J26" sqref="J26"/>
    </sheetView>
  </sheetViews>
  <sheetFormatPr defaultRowHeight="14.5" x14ac:dyDescent="0.35"/>
  <cols>
    <col min="1" max="1" width="14.36328125" customWidth="1"/>
    <col min="2" max="2" width="20.6328125" customWidth="1"/>
    <col min="4" max="4" width="10.08984375" customWidth="1"/>
    <col min="5" max="5" width="9.453125" customWidth="1"/>
    <col min="7" max="7" width="10.54296875" hidden="1" customWidth="1"/>
    <col min="8" max="8" width="1.6328125" hidden="1" customWidth="1"/>
    <col min="9" max="9" width="12.453125" hidden="1" customWidth="1"/>
    <col min="10" max="10" width="12.81640625" customWidth="1"/>
    <col min="11" max="11" width="11.1796875" customWidth="1"/>
    <col min="12" max="12" width="12.81640625" customWidth="1"/>
    <col min="13" max="13" width="10.90625" customWidth="1"/>
    <col min="14" max="14" width="11.7265625" customWidth="1"/>
    <col min="15" max="15" width="11.08984375" customWidth="1"/>
    <col min="16" max="16" width="14.36328125" customWidth="1"/>
    <col min="17" max="17" width="10.453125" customWidth="1"/>
    <col min="18" max="18" width="10" customWidth="1"/>
    <col min="19" max="19" width="11.36328125" customWidth="1"/>
  </cols>
  <sheetData>
    <row r="1" spans="1:20" ht="42" customHeight="1" x14ac:dyDescent="0.35">
      <c r="A1" s="927" t="s">
        <v>242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53"/>
    </row>
    <row r="2" spans="1:20" ht="50" customHeight="1" x14ac:dyDescent="0.35">
      <c r="A2" s="898" t="s">
        <v>47</v>
      </c>
      <c r="B2" s="899"/>
      <c r="C2" s="899"/>
      <c r="D2" s="900"/>
      <c r="E2" s="901"/>
      <c r="F2" s="877"/>
      <c r="G2" s="877"/>
      <c r="H2" s="877"/>
      <c r="I2" s="877"/>
      <c r="J2" s="892" t="s">
        <v>210</v>
      </c>
      <c r="K2" s="893"/>
      <c r="L2" s="894" t="s">
        <v>211</v>
      </c>
      <c r="M2" s="895"/>
      <c r="N2" s="896" t="s">
        <v>212</v>
      </c>
      <c r="O2" s="897"/>
      <c r="P2" s="886" t="s">
        <v>213</v>
      </c>
      <c r="Q2" s="887"/>
      <c r="R2" s="921"/>
      <c r="S2" s="922"/>
      <c r="T2" s="53"/>
    </row>
    <row r="3" spans="1:20" ht="45.5" customHeight="1" x14ac:dyDescent="0.35">
      <c r="A3" s="906"/>
      <c r="B3" s="47" t="s">
        <v>50</v>
      </c>
      <c r="C3" s="908">
        <f>Descrizione!C2</f>
        <v>12345678</v>
      </c>
      <c r="D3" s="909">
        <f>Descrizione!D1</f>
        <v>0</v>
      </c>
      <c r="E3" s="358"/>
      <c r="F3" s="888"/>
      <c r="G3" s="889"/>
      <c r="H3" s="889"/>
      <c r="I3" s="890"/>
      <c r="J3" s="414" t="s">
        <v>214</v>
      </c>
      <c r="K3" s="415"/>
      <c r="L3" s="414" t="s">
        <v>214</v>
      </c>
      <c r="M3" s="415"/>
      <c r="N3" s="414" t="s">
        <v>214</v>
      </c>
      <c r="O3" s="415"/>
      <c r="P3" s="414" t="s">
        <v>214</v>
      </c>
      <c r="Q3" s="417"/>
      <c r="R3" s="923" t="s">
        <v>215</v>
      </c>
      <c r="S3" s="925" t="s">
        <v>216</v>
      </c>
      <c r="T3" s="53"/>
    </row>
    <row r="4" spans="1:20" ht="43" customHeight="1" thickBot="1" x14ac:dyDescent="0.4">
      <c r="A4" s="907"/>
      <c r="B4" s="47" t="s">
        <v>52</v>
      </c>
      <c r="C4" s="47" t="s">
        <v>53</v>
      </c>
      <c r="D4" s="223" t="s">
        <v>54</v>
      </c>
      <c r="E4" s="223" t="s">
        <v>55</v>
      </c>
      <c r="F4" s="47" t="s">
        <v>56</v>
      </c>
      <c r="G4" s="791" t="s">
        <v>57</v>
      </c>
      <c r="H4" s="891"/>
      <c r="I4" s="213" t="s">
        <v>58</v>
      </c>
      <c r="J4" s="492">
        <v>10000</v>
      </c>
      <c r="K4" s="416" t="s">
        <v>222</v>
      </c>
      <c r="L4" s="492">
        <v>5555</v>
      </c>
      <c r="M4" s="416" t="s">
        <v>222</v>
      </c>
      <c r="N4" s="492">
        <v>444</v>
      </c>
      <c r="O4" s="416" t="s">
        <v>223</v>
      </c>
      <c r="P4" s="492">
        <v>333</v>
      </c>
      <c r="Q4" s="416" t="s">
        <v>223</v>
      </c>
      <c r="R4" s="924"/>
      <c r="S4" s="926"/>
      <c r="T4" s="53"/>
    </row>
    <row r="5" spans="1:20" ht="19" customHeight="1" thickTop="1" x14ac:dyDescent="0.35">
      <c r="A5" s="345"/>
      <c r="B5" s="20" t="s">
        <v>77</v>
      </c>
      <c r="C5" s="22" t="s">
        <v>78</v>
      </c>
      <c r="D5" s="186">
        <f>Calcoli!G4</f>
        <v>3200</v>
      </c>
      <c r="E5" s="307"/>
      <c r="F5" s="22" t="str">
        <f>C5</f>
        <v>n.</v>
      </c>
      <c r="G5" s="902"/>
      <c r="H5" s="903"/>
      <c r="I5" s="351"/>
      <c r="J5" s="393">
        <v>22000</v>
      </c>
      <c r="K5" s="394">
        <v>11000</v>
      </c>
      <c r="L5" s="393">
        <v>4000</v>
      </c>
      <c r="M5" s="395">
        <v>100</v>
      </c>
      <c r="N5" s="393">
        <v>1000</v>
      </c>
      <c r="O5" s="395">
        <v>100</v>
      </c>
      <c r="P5" s="393">
        <v>1000</v>
      </c>
      <c r="Q5" s="395">
        <v>100</v>
      </c>
      <c r="R5" s="396">
        <f>J5+L5+N5+P5</f>
        <v>28000</v>
      </c>
      <c r="S5" s="397">
        <f>K5+M5+O5+Q5</f>
        <v>11300</v>
      </c>
      <c r="T5" s="53"/>
    </row>
    <row r="6" spans="1:20" ht="16" thickBot="1" x14ac:dyDescent="0.4">
      <c r="A6" s="347"/>
      <c r="B6" s="359"/>
      <c r="C6" s="40"/>
      <c r="D6" s="41"/>
      <c r="E6" s="133"/>
      <c r="F6" s="41"/>
      <c r="G6" s="904"/>
      <c r="H6" s="905"/>
      <c r="I6" s="360">
        <f>SUM(I5:I5)</f>
        <v>0</v>
      </c>
      <c r="J6" s="398"/>
      <c r="K6" s="399"/>
      <c r="L6" s="398"/>
      <c r="M6" s="399"/>
      <c r="N6" s="398"/>
      <c r="O6" s="399"/>
      <c r="P6" s="398"/>
      <c r="Q6" s="399"/>
      <c r="R6" s="400"/>
      <c r="S6" s="401"/>
      <c r="T6" s="53"/>
    </row>
    <row r="7" spans="1:20" ht="16.5" customHeight="1" thickTop="1" x14ac:dyDescent="0.35">
      <c r="A7" s="911" t="s">
        <v>80</v>
      </c>
      <c r="B7" s="25" t="s">
        <v>81</v>
      </c>
      <c r="C7" s="21" t="s">
        <v>78</v>
      </c>
      <c r="D7" s="149">
        <f>Calcoli!G13</f>
        <v>60</v>
      </c>
      <c r="E7" s="134"/>
      <c r="F7" s="22" t="str">
        <f t="shared" ref="F7:F9" si="0">C7</f>
        <v>n.</v>
      </c>
      <c r="G7" s="915"/>
      <c r="H7" s="916"/>
      <c r="I7" s="352"/>
      <c r="J7" s="364"/>
      <c r="K7" s="365"/>
      <c r="L7" s="364"/>
      <c r="M7" s="365"/>
      <c r="N7" s="364"/>
      <c r="O7" s="365"/>
      <c r="P7" s="364"/>
      <c r="Q7" s="365"/>
      <c r="R7" s="378">
        <f t="shared" ref="R7:R39" si="1">J7+L7+N7+P7</f>
        <v>0</v>
      </c>
      <c r="S7" s="355">
        <f t="shared" ref="S7:S39" si="2">K7+M7+O7+Q7</f>
        <v>0</v>
      </c>
      <c r="T7" s="53"/>
    </row>
    <row r="8" spans="1:20" ht="15.5" customHeight="1" x14ac:dyDescent="0.35">
      <c r="A8" s="912"/>
      <c r="B8" s="24" t="s">
        <v>82</v>
      </c>
      <c r="C8" s="23" t="s">
        <v>78</v>
      </c>
      <c r="D8" s="150">
        <f>Calcoli!G13</f>
        <v>60</v>
      </c>
      <c r="E8" s="135"/>
      <c r="F8" s="22" t="str">
        <f t="shared" si="0"/>
        <v>n.</v>
      </c>
      <c r="G8" s="910"/>
      <c r="H8" s="903"/>
      <c r="I8" s="353"/>
      <c r="J8" s="364"/>
      <c r="K8" s="365"/>
      <c r="L8" s="364"/>
      <c r="M8" s="365"/>
      <c r="N8" s="364"/>
      <c r="O8" s="365"/>
      <c r="P8" s="364"/>
      <c r="Q8" s="365"/>
      <c r="R8" s="378">
        <f t="shared" si="1"/>
        <v>0</v>
      </c>
      <c r="S8" s="355">
        <f t="shared" si="2"/>
        <v>0</v>
      </c>
      <c r="T8" s="53"/>
    </row>
    <row r="9" spans="1:20" x14ac:dyDescent="0.35">
      <c r="A9" s="912"/>
      <c r="B9" s="24" t="s">
        <v>83</v>
      </c>
      <c r="C9" s="23" t="s">
        <v>78</v>
      </c>
      <c r="D9" s="148">
        <f>Calcoli!G19</f>
        <v>773.33333333333337</v>
      </c>
      <c r="E9" s="135"/>
      <c r="F9" s="22" t="str">
        <f t="shared" si="0"/>
        <v>n.</v>
      </c>
      <c r="G9" s="910"/>
      <c r="H9" s="903"/>
      <c r="I9" s="353"/>
      <c r="J9" s="364">
        <v>1000</v>
      </c>
      <c r="K9" s="365">
        <v>400</v>
      </c>
      <c r="L9" s="364"/>
      <c r="M9" s="365"/>
      <c r="N9" s="364"/>
      <c r="O9" s="365"/>
      <c r="P9" s="364"/>
      <c r="Q9" s="365"/>
      <c r="R9" s="378">
        <f t="shared" si="1"/>
        <v>1000</v>
      </c>
      <c r="S9" s="355">
        <f t="shared" si="2"/>
        <v>400</v>
      </c>
      <c r="T9" s="53"/>
    </row>
    <row r="10" spans="1:20" ht="17" customHeight="1" x14ac:dyDescent="0.35">
      <c r="A10" s="912"/>
      <c r="B10" s="24" t="s">
        <v>84</v>
      </c>
      <c r="C10" s="23" t="s">
        <v>85</v>
      </c>
      <c r="D10" s="148">
        <f>Calcoli!G21</f>
        <v>4000</v>
      </c>
      <c r="E10" s="136"/>
      <c r="F10" s="23" t="s">
        <v>85</v>
      </c>
      <c r="G10" s="902"/>
      <c r="H10" s="903"/>
      <c r="I10" s="353"/>
      <c r="J10" s="364"/>
      <c r="K10" s="365"/>
      <c r="L10" s="364"/>
      <c r="M10" s="365"/>
      <c r="N10" s="364"/>
      <c r="O10" s="365"/>
      <c r="P10" s="364"/>
      <c r="Q10" s="365"/>
      <c r="R10" s="378">
        <f t="shared" si="1"/>
        <v>0</v>
      </c>
      <c r="S10" s="355">
        <f t="shared" si="2"/>
        <v>0</v>
      </c>
      <c r="T10" s="53"/>
    </row>
    <row r="11" spans="1:20" ht="16" customHeight="1" x14ac:dyDescent="0.35">
      <c r="A11" s="912"/>
      <c r="B11" s="24" t="s">
        <v>86</v>
      </c>
      <c r="C11" s="23" t="s">
        <v>85</v>
      </c>
      <c r="D11" s="148">
        <f>Calcoli!G23</f>
        <v>12000</v>
      </c>
      <c r="E11" s="135"/>
      <c r="F11" s="23" t="s">
        <v>85</v>
      </c>
      <c r="G11" s="910"/>
      <c r="H11" s="903"/>
      <c r="I11" s="353"/>
      <c r="J11" s="364"/>
      <c r="K11" s="365"/>
      <c r="L11" s="364"/>
      <c r="M11" s="365"/>
      <c r="N11" s="364"/>
      <c r="O11" s="365"/>
      <c r="P11" s="364"/>
      <c r="Q11" s="365"/>
      <c r="R11" s="378">
        <f t="shared" si="1"/>
        <v>0</v>
      </c>
      <c r="S11" s="355">
        <f t="shared" si="2"/>
        <v>0</v>
      </c>
      <c r="T11" s="53"/>
    </row>
    <row r="12" spans="1:20" x14ac:dyDescent="0.35">
      <c r="A12" s="912"/>
      <c r="B12" s="24" t="s">
        <v>87</v>
      </c>
      <c r="C12" s="23" t="s">
        <v>78</v>
      </c>
      <c r="D12" s="148">
        <f>Calcoli!G4</f>
        <v>3200</v>
      </c>
      <c r="E12" s="135"/>
      <c r="F12" s="73"/>
      <c r="G12" s="910"/>
      <c r="H12" s="903"/>
      <c r="I12" s="353"/>
      <c r="J12" s="364"/>
      <c r="K12" s="365"/>
      <c r="L12" s="364"/>
      <c r="M12" s="365"/>
      <c r="N12" s="364"/>
      <c r="O12" s="365"/>
      <c r="P12" s="364"/>
      <c r="Q12" s="365"/>
      <c r="R12" s="378">
        <f t="shared" si="1"/>
        <v>0</v>
      </c>
      <c r="S12" s="355">
        <f t="shared" si="2"/>
        <v>0</v>
      </c>
      <c r="T12" s="53"/>
    </row>
    <row r="13" spans="1:20" x14ac:dyDescent="0.35">
      <c r="A13" s="912"/>
      <c r="B13" s="24" t="s">
        <v>88</v>
      </c>
      <c r="C13" s="23" t="s">
        <v>85</v>
      </c>
      <c r="D13" s="148">
        <f>Calcoli!G28</f>
        <v>0</v>
      </c>
      <c r="E13" s="135"/>
      <c r="F13" s="23" t="s">
        <v>85</v>
      </c>
      <c r="G13" s="910"/>
      <c r="H13" s="917"/>
      <c r="I13" s="353"/>
      <c r="J13" s="364"/>
      <c r="K13" s="365"/>
      <c r="L13" s="364"/>
      <c r="M13" s="365"/>
      <c r="N13" s="364"/>
      <c r="O13" s="365"/>
      <c r="P13" s="364"/>
      <c r="Q13" s="365"/>
      <c r="R13" s="378">
        <f t="shared" si="1"/>
        <v>0</v>
      </c>
      <c r="S13" s="355">
        <f t="shared" si="2"/>
        <v>0</v>
      </c>
      <c r="T13" s="53"/>
    </row>
    <row r="14" spans="1:20" ht="26" x14ac:dyDescent="0.35">
      <c r="A14" s="912"/>
      <c r="B14" s="24" t="s">
        <v>89</v>
      </c>
      <c r="C14" s="23" t="s">
        <v>78</v>
      </c>
      <c r="D14" s="42"/>
      <c r="E14" s="135"/>
      <c r="F14" s="73"/>
      <c r="G14" s="910"/>
      <c r="H14" s="903"/>
      <c r="I14" s="353"/>
      <c r="J14" s="364"/>
      <c r="K14" s="365"/>
      <c r="L14" s="364"/>
      <c r="M14" s="365"/>
      <c r="N14" s="364"/>
      <c r="O14" s="365"/>
      <c r="P14" s="364"/>
      <c r="Q14" s="365"/>
      <c r="R14" s="378">
        <f t="shared" si="1"/>
        <v>0</v>
      </c>
      <c r="S14" s="355">
        <f t="shared" si="2"/>
        <v>0</v>
      </c>
      <c r="T14" s="53"/>
    </row>
    <row r="15" spans="1:20" x14ac:dyDescent="0.35">
      <c r="A15" s="912"/>
      <c r="B15" s="24" t="s">
        <v>90</v>
      </c>
      <c r="C15" s="23" t="s">
        <v>78</v>
      </c>
      <c r="D15" s="148">
        <f>Calcoli!G25</f>
        <v>0</v>
      </c>
      <c r="E15" s="135"/>
      <c r="F15" s="23" t="s">
        <v>78</v>
      </c>
      <c r="G15" s="910"/>
      <c r="H15" s="903"/>
      <c r="I15" s="353"/>
      <c r="J15" s="364"/>
      <c r="K15" s="365"/>
      <c r="L15" s="364"/>
      <c r="M15" s="365"/>
      <c r="N15" s="364"/>
      <c r="O15" s="365"/>
      <c r="P15" s="364"/>
      <c r="Q15" s="365"/>
      <c r="R15" s="378">
        <f t="shared" si="1"/>
        <v>0</v>
      </c>
      <c r="S15" s="355">
        <f t="shared" si="2"/>
        <v>0</v>
      </c>
      <c r="T15" s="53"/>
    </row>
    <row r="16" spans="1:20" ht="26" x14ac:dyDescent="0.35">
      <c r="A16" s="912"/>
      <c r="B16" s="26" t="s">
        <v>91</v>
      </c>
      <c r="C16" s="23" t="s">
        <v>78</v>
      </c>
      <c r="D16" s="42"/>
      <c r="E16" s="135"/>
      <c r="F16" s="23" t="s">
        <v>78</v>
      </c>
      <c r="G16" s="910"/>
      <c r="H16" s="903"/>
      <c r="I16" s="353"/>
      <c r="J16" s="364"/>
      <c r="K16" s="365"/>
      <c r="L16" s="364"/>
      <c r="M16" s="365"/>
      <c r="N16" s="364"/>
      <c r="O16" s="365"/>
      <c r="P16" s="364"/>
      <c r="Q16" s="365"/>
      <c r="R16" s="378">
        <f t="shared" si="1"/>
        <v>0</v>
      </c>
      <c r="S16" s="355">
        <f t="shared" si="2"/>
        <v>0</v>
      </c>
      <c r="T16" s="53"/>
    </row>
    <row r="17" spans="1:20" ht="26" x14ac:dyDescent="0.35">
      <c r="A17" s="912"/>
      <c r="B17" s="11" t="s">
        <v>92</v>
      </c>
      <c r="C17" s="23" t="s">
        <v>63</v>
      </c>
      <c r="D17" s="158">
        <f>Calcoli!G3</f>
        <v>1</v>
      </c>
      <c r="E17" s="135"/>
      <c r="F17" s="74"/>
      <c r="G17" s="910"/>
      <c r="H17" s="903"/>
      <c r="I17" s="353"/>
      <c r="J17" s="364"/>
      <c r="K17" s="365"/>
      <c r="L17" s="364"/>
      <c r="M17" s="365"/>
      <c r="N17" s="364"/>
      <c r="O17" s="365"/>
      <c r="P17" s="364"/>
      <c r="Q17" s="365"/>
      <c r="R17" s="378">
        <f t="shared" si="1"/>
        <v>0</v>
      </c>
      <c r="S17" s="355">
        <f t="shared" si="2"/>
        <v>0</v>
      </c>
      <c r="T17" s="53"/>
    </row>
    <row r="18" spans="1:20" x14ac:dyDescent="0.35">
      <c r="A18" s="913"/>
      <c r="B18" s="348"/>
      <c r="C18" s="45"/>
      <c r="D18" s="45"/>
      <c r="E18" s="137"/>
      <c r="F18" s="75"/>
      <c r="G18" s="910"/>
      <c r="H18" s="903"/>
      <c r="I18" s="354"/>
      <c r="J18" s="364"/>
      <c r="K18" s="365"/>
      <c r="L18" s="364"/>
      <c r="M18" s="365"/>
      <c r="N18" s="364"/>
      <c r="O18" s="365"/>
      <c r="P18" s="364"/>
      <c r="Q18" s="365"/>
      <c r="R18" s="378">
        <f t="shared" si="1"/>
        <v>0</v>
      </c>
      <c r="S18" s="355">
        <f t="shared" si="2"/>
        <v>0</v>
      </c>
      <c r="T18" s="53"/>
    </row>
    <row r="19" spans="1:20" x14ac:dyDescent="0.35">
      <c r="A19" s="913"/>
      <c r="B19" s="348"/>
      <c r="C19" s="45"/>
      <c r="D19" s="45"/>
      <c r="E19" s="137"/>
      <c r="F19" s="75"/>
      <c r="G19" s="910"/>
      <c r="H19" s="917"/>
      <c r="I19" s="354"/>
      <c r="J19" s="364"/>
      <c r="K19" s="365"/>
      <c r="L19" s="364"/>
      <c r="M19" s="365"/>
      <c r="N19" s="364"/>
      <c r="O19" s="365"/>
      <c r="P19" s="364"/>
      <c r="Q19" s="365"/>
      <c r="R19" s="378">
        <f t="shared" si="1"/>
        <v>0</v>
      </c>
      <c r="S19" s="355">
        <f t="shared" si="2"/>
        <v>0</v>
      </c>
      <c r="T19" s="53"/>
    </row>
    <row r="20" spans="1:20" x14ac:dyDescent="0.35">
      <c r="A20" s="913"/>
      <c r="B20" s="348"/>
      <c r="C20" s="45"/>
      <c r="D20" s="45"/>
      <c r="E20" s="137"/>
      <c r="F20" s="75"/>
      <c r="G20" s="910"/>
      <c r="H20" s="903"/>
      <c r="I20" s="354"/>
      <c r="J20" s="364"/>
      <c r="K20" s="365"/>
      <c r="L20" s="364"/>
      <c r="M20" s="365"/>
      <c r="N20" s="364"/>
      <c r="O20" s="365"/>
      <c r="P20" s="364"/>
      <c r="Q20" s="365"/>
      <c r="R20" s="378">
        <f t="shared" si="1"/>
        <v>0</v>
      </c>
      <c r="S20" s="355">
        <f t="shared" si="2"/>
        <v>0</v>
      </c>
      <c r="T20" s="53"/>
    </row>
    <row r="21" spans="1:20" ht="52" x14ac:dyDescent="0.35">
      <c r="A21" s="913"/>
      <c r="B21" s="72" t="s">
        <v>93</v>
      </c>
      <c r="C21" s="45"/>
      <c r="D21" s="45"/>
      <c r="E21" s="137"/>
      <c r="F21" s="75"/>
      <c r="G21" s="910"/>
      <c r="H21" s="903"/>
      <c r="I21" s="354"/>
      <c r="J21" s="364"/>
      <c r="K21" s="365"/>
      <c r="L21" s="364"/>
      <c r="M21" s="365"/>
      <c r="N21" s="364"/>
      <c r="O21" s="365"/>
      <c r="P21" s="364"/>
      <c r="Q21" s="365"/>
      <c r="R21" s="378">
        <f t="shared" si="1"/>
        <v>0</v>
      </c>
      <c r="S21" s="355">
        <f t="shared" si="2"/>
        <v>0</v>
      </c>
      <c r="T21" s="53"/>
    </row>
    <row r="22" spans="1:20" ht="20.5" customHeight="1" thickBot="1" x14ac:dyDescent="0.4">
      <c r="A22" s="914"/>
      <c r="B22" s="376"/>
      <c r="C22" s="52"/>
      <c r="D22" s="45"/>
      <c r="E22" s="45"/>
      <c r="F22" s="52"/>
      <c r="G22" s="904"/>
      <c r="H22" s="905"/>
      <c r="I22" s="360">
        <f>SUM(I7:I21)</f>
        <v>0</v>
      </c>
      <c r="J22" s="368"/>
      <c r="K22" s="369"/>
      <c r="L22" s="368"/>
      <c r="M22" s="369"/>
      <c r="N22" s="368"/>
      <c r="O22" s="369"/>
      <c r="P22" s="368"/>
      <c r="Q22" s="369"/>
      <c r="R22" s="367"/>
      <c r="S22" s="361"/>
      <c r="T22" s="53"/>
    </row>
    <row r="23" spans="1:20" ht="15" thickTop="1" x14ac:dyDescent="0.35">
      <c r="A23" s="928" t="s">
        <v>99</v>
      </c>
      <c r="B23" s="31" t="s">
        <v>100</v>
      </c>
      <c r="C23" s="49" t="s">
        <v>85</v>
      </c>
      <c r="D23" s="148">
        <f>Calcoli!N10</f>
        <v>75</v>
      </c>
      <c r="E23" s="76"/>
      <c r="F23" s="23" t="str">
        <f t="shared" ref="F23:F26" si="3">C23</f>
        <v>m</v>
      </c>
      <c r="G23" s="915"/>
      <c r="H23" s="916"/>
      <c r="I23" s="352"/>
      <c r="J23" s="370"/>
      <c r="K23" s="371"/>
      <c r="L23" s="370"/>
      <c r="M23" s="371"/>
      <c r="N23" s="370"/>
      <c r="O23" s="371"/>
      <c r="P23" s="370"/>
      <c r="Q23" s="371"/>
      <c r="R23" s="378">
        <f t="shared" si="1"/>
        <v>0</v>
      </c>
      <c r="S23" s="355">
        <f t="shared" si="2"/>
        <v>0</v>
      </c>
      <c r="T23" s="53"/>
    </row>
    <row r="24" spans="1:20" x14ac:dyDescent="0.35">
      <c r="A24" s="928"/>
      <c r="B24" s="31" t="s">
        <v>102</v>
      </c>
      <c r="C24" s="49" t="s">
        <v>85</v>
      </c>
      <c r="D24" s="148">
        <f>Calcoli!N11</f>
        <v>4000</v>
      </c>
      <c r="E24" s="76"/>
      <c r="F24" s="22" t="str">
        <f t="shared" si="3"/>
        <v>m</v>
      </c>
      <c r="G24" s="910"/>
      <c r="H24" s="903"/>
      <c r="I24" s="353"/>
      <c r="J24" s="370"/>
      <c r="K24" s="371"/>
      <c r="L24" s="370"/>
      <c r="M24" s="371"/>
      <c r="N24" s="370"/>
      <c r="O24" s="371"/>
      <c r="P24" s="370"/>
      <c r="Q24" s="371"/>
      <c r="R24" s="378">
        <f t="shared" si="1"/>
        <v>0</v>
      </c>
      <c r="S24" s="355">
        <f t="shared" si="2"/>
        <v>0</v>
      </c>
      <c r="T24" s="53"/>
    </row>
    <row r="25" spans="1:20" ht="26" x14ac:dyDescent="0.35">
      <c r="A25" s="928"/>
      <c r="B25" s="31" t="s">
        <v>103</v>
      </c>
      <c r="C25" s="49" t="s">
        <v>85</v>
      </c>
      <c r="D25" s="148">
        <f>Calcoli!N12</f>
        <v>4000</v>
      </c>
      <c r="E25" s="76"/>
      <c r="F25" s="22" t="str">
        <f t="shared" si="3"/>
        <v>m</v>
      </c>
      <c r="G25" s="910"/>
      <c r="H25" s="903"/>
      <c r="I25" s="353"/>
      <c r="J25" s="370"/>
      <c r="K25" s="371"/>
      <c r="L25" s="370"/>
      <c r="M25" s="371"/>
      <c r="N25" s="370"/>
      <c r="O25" s="371"/>
      <c r="P25" s="370"/>
      <c r="Q25" s="371"/>
      <c r="R25" s="378">
        <f t="shared" si="1"/>
        <v>0</v>
      </c>
      <c r="S25" s="355">
        <f t="shared" si="2"/>
        <v>0</v>
      </c>
      <c r="T25" s="53"/>
    </row>
    <row r="26" spans="1:20" x14ac:dyDescent="0.35">
      <c r="A26" s="928"/>
      <c r="B26" s="31" t="s">
        <v>104</v>
      </c>
      <c r="C26" s="49" t="s">
        <v>105</v>
      </c>
      <c r="D26" s="148">
        <f>Calcoli!N16</f>
        <v>6666.666666666667</v>
      </c>
      <c r="E26" s="76"/>
      <c r="F26" s="22" t="str">
        <f t="shared" si="3"/>
        <v>cad</v>
      </c>
      <c r="G26" s="910"/>
      <c r="H26" s="903"/>
      <c r="I26" s="353"/>
      <c r="J26" s="370"/>
      <c r="K26" s="371"/>
      <c r="L26" s="370"/>
      <c r="M26" s="371"/>
      <c r="N26" s="370"/>
      <c r="O26" s="371"/>
      <c r="P26" s="370"/>
      <c r="Q26" s="371"/>
      <c r="R26" s="378">
        <f t="shared" si="1"/>
        <v>0</v>
      </c>
      <c r="S26" s="355">
        <f t="shared" si="2"/>
        <v>0</v>
      </c>
      <c r="T26" s="53"/>
    </row>
    <row r="27" spans="1:20" ht="26" x14ac:dyDescent="0.35">
      <c r="A27" s="928"/>
      <c r="B27" s="31" t="s">
        <v>106</v>
      </c>
      <c r="C27" s="43"/>
      <c r="D27" s="43"/>
      <c r="E27" s="77"/>
      <c r="F27" s="78"/>
      <c r="G27" s="910"/>
      <c r="H27" s="903"/>
      <c r="I27" s="353"/>
      <c r="J27" s="370"/>
      <c r="K27" s="371"/>
      <c r="L27" s="370"/>
      <c r="M27" s="371"/>
      <c r="N27" s="370"/>
      <c r="O27" s="371"/>
      <c r="P27" s="370"/>
      <c r="Q27" s="371"/>
      <c r="R27" s="378">
        <f t="shared" si="1"/>
        <v>0</v>
      </c>
      <c r="S27" s="355">
        <f t="shared" si="2"/>
        <v>0</v>
      </c>
      <c r="T27" s="53"/>
    </row>
    <row r="28" spans="1:20" ht="26" x14ac:dyDescent="0.35">
      <c r="A28" s="928"/>
      <c r="B28" s="31" t="s">
        <v>107</v>
      </c>
      <c r="C28" s="43"/>
      <c r="D28" s="43"/>
      <c r="E28" s="77"/>
      <c r="F28" s="78"/>
      <c r="G28" s="910" t="s">
        <v>108</v>
      </c>
      <c r="H28" s="903"/>
      <c r="I28" s="353"/>
      <c r="J28" s="370"/>
      <c r="K28" s="371"/>
      <c r="L28" s="370"/>
      <c r="M28" s="371"/>
      <c r="N28" s="370"/>
      <c r="O28" s="371"/>
      <c r="P28" s="370"/>
      <c r="Q28" s="371"/>
      <c r="R28" s="378">
        <f t="shared" si="1"/>
        <v>0</v>
      </c>
      <c r="S28" s="355">
        <f t="shared" si="2"/>
        <v>0</v>
      </c>
      <c r="T28" s="53"/>
    </row>
    <row r="29" spans="1:20" ht="26" x14ac:dyDescent="0.35">
      <c r="A29" s="929"/>
      <c r="B29" s="31" t="s">
        <v>109</v>
      </c>
      <c r="C29" s="43"/>
      <c r="D29" s="43"/>
      <c r="E29" s="77"/>
      <c r="F29" s="78"/>
      <c r="G29" s="910"/>
      <c r="H29" s="903"/>
      <c r="I29" s="353"/>
      <c r="J29" s="370"/>
      <c r="K29" s="371"/>
      <c r="L29" s="370"/>
      <c r="M29" s="371"/>
      <c r="N29" s="370"/>
      <c r="O29" s="371"/>
      <c r="P29" s="370"/>
      <c r="Q29" s="371"/>
      <c r="R29" s="378">
        <f t="shared" si="1"/>
        <v>0</v>
      </c>
      <c r="S29" s="355">
        <f t="shared" si="2"/>
        <v>0</v>
      </c>
      <c r="T29" s="53"/>
    </row>
    <row r="30" spans="1:20" ht="26" x14ac:dyDescent="0.35">
      <c r="A30" s="929"/>
      <c r="B30" s="31" t="s">
        <v>110</v>
      </c>
      <c r="C30" s="43"/>
      <c r="D30" s="43"/>
      <c r="E30" s="77"/>
      <c r="F30" s="78"/>
      <c r="G30" s="910"/>
      <c r="H30" s="903"/>
      <c r="I30" s="353"/>
      <c r="J30" s="370"/>
      <c r="K30" s="371"/>
      <c r="L30" s="370"/>
      <c r="M30" s="371"/>
      <c r="N30" s="370"/>
      <c r="O30" s="371"/>
      <c r="P30" s="370"/>
      <c r="Q30" s="371"/>
      <c r="R30" s="378">
        <f t="shared" si="1"/>
        <v>0</v>
      </c>
      <c r="S30" s="355">
        <f t="shared" si="2"/>
        <v>0</v>
      </c>
      <c r="T30" s="53"/>
    </row>
    <row r="31" spans="1:20" x14ac:dyDescent="0.35">
      <c r="A31" s="929"/>
      <c r="B31" s="113"/>
      <c r="C31" s="43"/>
      <c r="D31" s="43"/>
      <c r="E31" s="77"/>
      <c r="F31" s="78"/>
      <c r="G31" s="910"/>
      <c r="H31" s="903"/>
      <c r="I31" s="353"/>
      <c r="J31" s="370"/>
      <c r="K31" s="371"/>
      <c r="L31" s="370"/>
      <c r="M31" s="371"/>
      <c r="N31" s="370"/>
      <c r="O31" s="371"/>
      <c r="P31" s="370"/>
      <c r="Q31" s="371"/>
      <c r="R31" s="378">
        <f t="shared" si="1"/>
        <v>0</v>
      </c>
      <c r="S31" s="355">
        <f t="shared" si="2"/>
        <v>0</v>
      </c>
      <c r="T31" s="53"/>
    </row>
    <row r="32" spans="1:20" x14ac:dyDescent="0.35">
      <c r="A32" s="929"/>
      <c r="B32" s="113"/>
      <c r="C32" s="43"/>
      <c r="D32" s="43"/>
      <c r="E32" s="77"/>
      <c r="F32" s="78"/>
      <c r="G32" s="910"/>
      <c r="H32" s="903"/>
      <c r="I32" s="353"/>
      <c r="J32" s="370"/>
      <c r="K32" s="371"/>
      <c r="L32" s="370"/>
      <c r="M32" s="371"/>
      <c r="N32" s="370"/>
      <c r="O32" s="371"/>
      <c r="P32" s="370"/>
      <c r="Q32" s="371"/>
      <c r="R32" s="378">
        <f t="shared" si="1"/>
        <v>0</v>
      </c>
      <c r="S32" s="355">
        <f t="shared" si="2"/>
        <v>0</v>
      </c>
      <c r="T32" s="53"/>
    </row>
    <row r="33" spans="1:20" x14ac:dyDescent="0.35">
      <c r="A33" s="929"/>
      <c r="B33" s="113"/>
      <c r="C33" s="43"/>
      <c r="D33" s="43"/>
      <c r="E33" s="77"/>
      <c r="F33" s="78"/>
      <c r="G33" s="910"/>
      <c r="H33" s="903"/>
      <c r="I33" s="353"/>
      <c r="J33" s="370"/>
      <c r="K33" s="371"/>
      <c r="L33" s="370"/>
      <c r="M33" s="371"/>
      <c r="N33" s="370"/>
      <c r="O33" s="371"/>
      <c r="P33" s="370"/>
      <c r="Q33" s="371"/>
      <c r="R33" s="378">
        <f t="shared" si="1"/>
        <v>0</v>
      </c>
      <c r="S33" s="355">
        <f t="shared" si="2"/>
        <v>0</v>
      </c>
      <c r="T33" s="53"/>
    </row>
    <row r="34" spans="1:20" x14ac:dyDescent="0.35">
      <c r="A34" s="929"/>
      <c r="B34" s="113"/>
      <c r="C34" s="43"/>
      <c r="D34" s="43"/>
      <c r="E34" s="77"/>
      <c r="F34" s="78"/>
      <c r="G34" s="910"/>
      <c r="H34" s="903"/>
      <c r="I34" s="353"/>
      <c r="J34" s="370"/>
      <c r="K34" s="371"/>
      <c r="L34" s="370"/>
      <c r="M34" s="371"/>
      <c r="N34" s="370"/>
      <c r="O34" s="371"/>
      <c r="P34" s="370"/>
      <c r="Q34" s="371"/>
      <c r="R34" s="378">
        <f t="shared" si="1"/>
        <v>0</v>
      </c>
      <c r="S34" s="355">
        <f t="shared" si="2"/>
        <v>0</v>
      </c>
      <c r="T34" s="53"/>
    </row>
    <row r="35" spans="1:20" ht="39.5" x14ac:dyDescent="0.35">
      <c r="A35" s="929"/>
      <c r="B35" s="50" t="s">
        <v>111</v>
      </c>
      <c r="C35" s="43"/>
      <c r="D35" s="43"/>
      <c r="E35" s="77"/>
      <c r="F35" s="78"/>
      <c r="G35" s="910"/>
      <c r="H35" s="903"/>
      <c r="I35" s="353"/>
      <c r="J35" s="370"/>
      <c r="K35" s="371"/>
      <c r="L35" s="370"/>
      <c r="M35" s="371"/>
      <c r="N35" s="370"/>
      <c r="O35" s="371"/>
      <c r="P35" s="370"/>
      <c r="Q35" s="371"/>
      <c r="R35" s="378">
        <f t="shared" si="1"/>
        <v>0</v>
      </c>
      <c r="S35" s="355">
        <f t="shared" si="2"/>
        <v>0</v>
      </c>
      <c r="T35" s="53"/>
    </row>
    <row r="36" spans="1:20" x14ac:dyDescent="0.35">
      <c r="A36" s="929"/>
      <c r="B36" s="377"/>
      <c r="C36" s="43"/>
      <c r="D36" s="43"/>
      <c r="E36" s="43"/>
      <c r="F36" s="43"/>
      <c r="G36" s="918"/>
      <c r="H36" s="919"/>
      <c r="I36" s="362">
        <f>SUM(I23:I35)</f>
        <v>0</v>
      </c>
      <c r="J36" s="372"/>
      <c r="K36" s="373"/>
      <c r="L36" s="372"/>
      <c r="M36" s="373"/>
      <c r="N36" s="372"/>
      <c r="O36" s="373"/>
      <c r="P36" s="372"/>
      <c r="Q36" s="373"/>
      <c r="R36" s="367"/>
      <c r="S36" s="361"/>
      <c r="T36" s="53"/>
    </row>
    <row r="37" spans="1:20" ht="28.5" customHeight="1" x14ac:dyDescent="0.35">
      <c r="A37" s="920" t="s">
        <v>218</v>
      </c>
      <c r="B37" s="356" t="s">
        <v>217</v>
      </c>
      <c r="C37" s="324"/>
      <c r="D37" s="324"/>
      <c r="E37" s="324"/>
      <c r="F37" s="324"/>
      <c r="G37" s="324"/>
      <c r="H37" s="324"/>
      <c r="I37" s="366"/>
      <c r="J37" s="402"/>
      <c r="K37" s="371"/>
      <c r="L37" s="370"/>
      <c r="M37" s="371"/>
      <c r="N37" s="370"/>
      <c r="O37" s="371"/>
      <c r="P37" s="370"/>
      <c r="Q37" s="374"/>
      <c r="R37" s="379">
        <f t="shared" si="1"/>
        <v>0</v>
      </c>
      <c r="S37" s="324">
        <f t="shared" si="2"/>
        <v>0</v>
      </c>
      <c r="T37" s="53"/>
    </row>
    <row r="38" spans="1:20" ht="29" x14ac:dyDescent="0.35">
      <c r="A38" s="920"/>
      <c r="B38" s="356" t="s">
        <v>217</v>
      </c>
      <c r="C38" s="324"/>
      <c r="D38" s="324"/>
      <c r="E38" s="324"/>
      <c r="F38" s="324"/>
      <c r="G38" s="324"/>
      <c r="H38" s="324"/>
      <c r="I38" s="366"/>
      <c r="J38" s="402">
        <v>1000</v>
      </c>
      <c r="K38" s="371"/>
      <c r="L38" s="370"/>
      <c r="M38" s="371"/>
      <c r="N38" s="370"/>
      <c r="O38" s="371"/>
      <c r="P38" s="370"/>
      <c r="Q38" s="374"/>
      <c r="R38" s="379">
        <f t="shared" si="1"/>
        <v>1000</v>
      </c>
      <c r="S38" s="324">
        <f t="shared" si="2"/>
        <v>0</v>
      </c>
      <c r="T38" s="53"/>
    </row>
    <row r="39" spans="1:20" ht="29" x14ac:dyDescent="0.35">
      <c r="A39" s="920"/>
      <c r="B39" s="356" t="s">
        <v>217</v>
      </c>
      <c r="C39" s="324"/>
      <c r="D39" s="324"/>
      <c r="E39" s="324"/>
      <c r="F39" s="324"/>
      <c r="G39" s="324"/>
      <c r="H39" s="324"/>
      <c r="I39" s="366"/>
      <c r="J39" s="402"/>
      <c r="K39" s="371"/>
      <c r="L39" s="370"/>
      <c r="M39" s="371"/>
      <c r="N39" s="370"/>
      <c r="O39" s="371"/>
      <c r="P39" s="370"/>
      <c r="Q39" s="374"/>
      <c r="R39" s="379">
        <f t="shared" si="1"/>
        <v>0</v>
      </c>
      <c r="S39" s="324">
        <f t="shared" si="2"/>
        <v>0</v>
      </c>
      <c r="T39" s="53"/>
    </row>
    <row r="40" spans="1:20" ht="21.5" customHeight="1" x14ac:dyDescent="0.35">
      <c r="A40" s="920"/>
      <c r="B40" s="363"/>
      <c r="C40" s="157"/>
      <c r="D40" s="157"/>
      <c r="E40" s="157"/>
      <c r="F40" s="157"/>
      <c r="G40" s="157"/>
      <c r="H40" s="157"/>
      <c r="I40" s="196"/>
      <c r="J40" s="368"/>
      <c r="K40" s="369"/>
      <c r="L40" s="368"/>
      <c r="M40" s="369"/>
      <c r="N40" s="368"/>
      <c r="O40" s="369"/>
      <c r="P40" s="368"/>
      <c r="Q40" s="179"/>
      <c r="R40" s="375"/>
      <c r="S40" s="157"/>
      <c r="T40" s="53"/>
    </row>
    <row r="41" spans="1:20" ht="31" customHeight="1" x14ac:dyDescent="0.35">
      <c r="A41" s="409"/>
      <c r="B41" s="357" t="s">
        <v>219</v>
      </c>
      <c r="C41" s="380"/>
      <c r="D41" s="380"/>
      <c r="E41" s="380"/>
      <c r="F41" s="380"/>
      <c r="G41" s="380"/>
      <c r="H41" s="380"/>
      <c r="I41" s="381"/>
      <c r="J41" s="391">
        <f>SUM(J5:J40)</f>
        <v>24000</v>
      </c>
      <c r="K41" s="392"/>
      <c r="L41" s="391"/>
      <c r="M41" s="392"/>
      <c r="N41" s="391"/>
      <c r="O41" s="392"/>
      <c r="P41" s="391"/>
      <c r="Q41" s="382"/>
      <c r="R41" s="404"/>
      <c r="S41" s="405"/>
      <c r="T41" s="53"/>
    </row>
    <row r="42" spans="1:20" ht="29" customHeight="1" x14ac:dyDescent="0.35">
      <c r="A42" s="410"/>
      <c r="B42" s="357" t="s">
        <v>220</v>
      </c>
      <c r="C42" s="383"/>
      <c r="D42" s="383"/>
      <c r="E42" s="383"/>
      <c r="F42" s="383"/>
      <c r="G42" s="383"/>
      <c r="H42" s="383"/>
      <c r="I42" s="384"/>
      <c r="J42" s="385">
        <f>J4</f>
        <v>10000</v>
      </c>
      <c r="K42" s="349"/>
      <c r="L42" s="386"/>
      <c r="M42" s="349"/>
      <c r="N42" s="386"/>
      <c r="O42" s="349"/>
      <c r="P42" s="386"/>
      <c r="Q42" s="349"/>
      <c r="R42" s="403"/>
      <c r="S42" s="406"/>
      <c r="T42" s="53"/>
    </row>
    <row r="43" spans="1:20" ht="26.5" customHeight="1" x14ac:dyDescent="0.35">
      <c r="A43" s="411"/>
      <c r="B43" s="357" t="s">
        <v>221</v>
      </c>
      <c r="C43" s="387"/>
      <c r="D43" s="387"/>
      <c r="E43" s="387"/>
      <c r="F43" s="387"/>
      <c r="G43" s="387"/>
      <c r="H43" s="387"/>
      <c r="I43" s="388"/>
      <c r="J43" s="389">
        <f>J42-J41</f>
        <v>-14000</v>
      </c>
      <c r="K43" s="350"/>
      <c r="L43" s="390"/>
      <c r="M43" s="350"/>
      <c r="N43" s="390"/>
      <c r="O43" s="350"/>
      <c r="P43" s="390"/>
      <c r="Q43" s="350"/>
      <c r="R43" s="407"/>
      <c r="S43" s="408"/>
      <c r="T43" s="53"/>
    </row>
  </sheetData>
  <sheetProtection algorithmName="SHA-512" hashValue="rIefWo7OmzxUagqqzG2FHZNiPWXIpltnLK1rwFI12Ycl9Mxx9/3xHvRj0jEqQHG5yOsZ9RWuFVfn/pQmWxKGOQ==" saltValue="D33U4Cshw56Z+p/sNUDdFw==" spinCount="100000" sheet="1" objects="1" scenarios="1"/>
  <mergeCells count="48">
    <mergeCell ref="A37:A40"/>
    <mergeCell ref="R2:S2"/>
    <mergeCell ref="R3:R4"/>
    <mergeCell ref="S3:S4"/>
    <mergeCell ref="A1:S1"/>
    <mergeCell ref="A23:A36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4:H34"/>
    <mergeCell ref="G35:H35"/>
    <mergeCell ref="G36:H36"/>
    <mergeCell ref="G16:H16"/>
    <mergeCell ref="G17:H17"/>
    <mergeCell ref="G18:H18"/>
    <mergeCell ref="G19:H19"/>
    <mergeCell ref="G20:H20"/>
    <mergeCell ref="G21:H21"/>
    <mergeCell ref="G5:H5"/>
    <mergeCell ref="G6:H6"/>
    <mergeCell ref="A3:A4"/>
    <mergeCell ref="C3:D3"/>
    <mergeCell ref="G33:H33"/>
    <mergeCell ref="A7:A22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22:H22"/>
    <mergeCell ref="P2:Q2"/>
    <mergeCell ref="F3:I3"/>
    <mergeCell ref="G4:H4"/>
    <mergeCell ref="J2:K2"/>
    <mergeCell ref="L2:M2"/>
    <mergeCell ref="N2:O2"/>
    <mergeCell ref="A2:I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ECB5B-883C-457C-BD4D-197907C642BC}">
  <dimension ref="A1:N32"/>
  <sheetViews>
    <sheetView topLeftCell="B20" workbookViewId="0">
      <selection activeCell="J27" sqref="J27"/>
    </sheetView>
  </sheetViews>
  <sheetFormatPr defaultRowHeight="14.5" x14ac:dyDescent="0.35"/>
  <cols>
    <col min="1" max="2" width="11.54296875" customWidth="1"/>
    <col min="3" max="3" width="28" customWidth="1"/>
    <col min="4" max="4" width="15.1796875" customWidth="1"/>
    <col min="5" max="5" width="16.26953125" customWidth="1"/>
    <col min="6" max="6" width="18.54296875" customWidth="1"/>
    <col min="7" max="7" width="13.26953125" customWidth="1"/>
    <col min="8" max="9" width="13" customWidth="1"/>
    <col min="10" max="10" width="32.1796875" customWidth="1"/>
    <col min="11" max="11" width="11.54296875" customWidth="1"/>
    <col min="12" max="12" width="13.54296875" customWidth="1"/>
    <col min="13" max="13" width="13.453125" customWidth="1"/>
    <col min="14" max="14" width="11.453125" customWidth="1"/>
  </cols>
  <sheetData>
    <row r="1" spans="1:14" hidden="1" x14ac:dyDescent="0.35"/>
    <row r="2" spans="1:14" ht="28.5" customHeight="1" thickBot="1" x14ac:dyDescent="0.4">
      <c r="A2" s="931" t="s">
        <v>154</v>
      </c>
      <c r="B2" s="932"/>
      <c r="C2" s="161" t="s">
        <v>155</v>
      </c>
      <c r="D2" s="161" t="s">
        <v>156</v>
      </c>
      <c r="E2" s="161" t="s">
        <v>157</v>
      </c>
      <c r="F2" s="161" t="s">
        <v>158</v>
      </c>
      <c r="G2" s="161" t="s">
        <v>159</v>
      </c>
      <c r="H2" s="930" t="s">
        <v>160</v>
      </c>
      <c r="I2" s="724"/>
      <c r="J2" s="175" t="s">
        <v>155</v>
      </c>
      <c r="K2" s="175" t="s">
        <v>156</v>
      </c>
      <c r="L2" s="175" t="s">
        <v>157</v>
      </c>
      <c r="M2" s="175" t="s">
        <v>158</v>
      </c>
      <c r="N2" s="175" t="s">
        <v>159</v>
      </c>
    </row>
    <row r="3" spans="1:14" ht="21.65" customHeight="1" thickTop="1" x14ac:dyDescent="0.35">
      <c r="A3" s="192" t="s">
        <v>161</v>
      </c>
      <c r="B3" s="192" t="s">
        <v>162</v>
      </c>
      <c r="C3" s="127" t="s">
        <v>163</v>
      </c>
      <c r="D3" s="162">
        <f>Descrizione!C3</f>
        <v>1</v>
      </c>
      <c r="E3" s="162">
        <f>Descrizione2C!C3</f>
        <v>0</v>
      </c>
      <c r="F3" s="162">
        <f>Descrizione3C!C3</f>
        <v>0</v>
      </c>
      <c r="G3" s="151">
        <f>D3+E3+F3</f>
        <v>1</v>
      </c>
      <c r="H3" s="192" t="s">
        <v>161</v>
      </c>
      <c r="I3" s="194" t="s">
        <v>164</v>
      </c>
      <c r="J3" s="176" t="s">
        <v>165</v>
      </c>
      <c r="K3" s="177">
        <f>Descrizione!C11</f>
        <v>0</v>
      </c>
      <c r="L3" s="177">
        <f>Descrizione2C!C11</f>
        <v>0</v>
      </c>
      <c r="M3" s="177">
        <f>Descrizione3C!C11</f>
        <v>0</v>
      </c>
      <c r="N3" s="337">
        <f>K3+L3+M3</f>
        <v>0</v>
      </c>
    </row>
    <row r="4" spans="1:14" ht="28" customHeight="1" x14ac:dyDescent="0.35">
      <c r="A4" s="193" t="s">
        <v>161</v>
      </c>
      <c r="B4" s="193" t="s">
        <v>162</v>
      </c>
      <c r="C4" s="127" t="s">
        <v>166</v>
      </c>
      <c r="D4" s="163">
        <f>Descrizione!G6</f>
        <v>3200</v>
      </c>
      <c r="E4" s="163">
        <f>Descrizione2C!G6</f>
        <v>0</v>
      </c>
      <c r="F4" s="163">
        <f>Descrizione3C!G6</f>
        <v>0</v>
      </c>
      <c r="G4" s="152">
        <f>D4+E4+F4</f>
        <v>3200</v>
      </c>
      <c r="H4" s="192" t="s">
        <v>161</v>
      </c>
      <c r="I4" s="194" t="s">
        <v>164</v>
      </c>
      <c r="J4" s="178" t="s">
        <v>167</v>
      </c>
      <c r="K4" s="170">
        <f>Descrizione!E11</f>
        <v>0</v>
      </c>
      <c r="L4" s="170">
        <f>Descrizione2C!E11</f>
        <v>0</v>
      </c>
      <c r="M4" s="170">
        <f>Descrizione3C!E11</f>
        <v>3</v>
      </c>
      <c r="N4" s="179"/>
    </row>
    <row r="5" spans="1:14" ht="20.149999999999999" customHeight="1" x14ac:dyDescent="0.35">
      <c r="A5" s="193" t="s">
        <v>161</v>
      </c>
      <c r="B5" s="193" t="s">
        <v>162</v>
      </c>
      <c r="C5" s="421" t="s">
        <v>9</v>
      </c>
      <c r="D5" s="164" t="str">
        <f>Descrizione!E3</f>
        <v>pianura e collina &lt; 5%</v>
      </c>
      <c r="E5" s="164" t="str">
        <f>Descrizione2C!E3</f>
        <v>pianura e collina &lt; 5%</v>
      </c>
      <c r="F5" s="164" t="str">
        <f>Descrizione3C!E3</f>
        <v>pianura e collina &lt; 5%</v>
      </c>
      <c r="G5" s="35"/>
      <c r="H5" s="192" t="s">
        <v>161</v>
      </c>
      <c r="I5" s="194" t="s">
        <v>164</v>
      </c>
      <c r="J5" s="178" t="s">
        <v>167</v>
      </c>
      <c r="K5" s="170">
        <f>Descrizione!G11</f>
        <v>0</v>
      </c>
      <c r="L5" s="170">
        <f>Descrizione2C!G11</f>
        <v>0</v>
      </c>
      <c r="M5" s="170">
        <f>Descrizione3C!G11</f>
        <v>1</v>
      </c>
      <c r="N5" s="179"/>
    </row>
    <row r="6" spans="1:14" ht="21.65" customHeight="1" thickBot="1" x14ac:dyDescent="0.4">
      <c r="A6" s="193" t="s">
        <v>161</v>
      </c>
      <c r="B6" s="193" t="s">
        <v>162</v>
      </c>
      <c r="C6" s="481" t="s">
        <v>168</v>
      </c>
      <c r="D6" s="165">
        <f>IF(D5="pianura e collina &lt; 5%",690,IF(D5="collina da 5% a 15%",800,IF(D5="collina &gt;15%",860)))</f>
        <v>690</v>
      </c>
      <c r="E6" s="165">
        <f>IF(E5="pianura e collina &lt; 5%",690,IF(E5="collina da 5% a 15%",800,IF(E5="collina &gt;15%",860)))</f>
        <v>690</v>
      </c>
      <c r="F6" s="165">
        <f>IF(F5="pianura e collina &lt; 5%",690,IF(F5="collina da 5% a 15%",800,IF(F5="collina &gt;15%",860)))</f>
        <v>690</v>
      </c>
      <c r="G6" s="35"/>
      <c r="H6" s="192" t="s">
        <v>161</v>
      </c>
      <c r="I6" s="194" t="s">
        <v>164</v>
      </c>
      <c r="J6" s="180" t="s">
        <v>169</v>
      </c>
      <c r="K6" s="181">
        <f>IF(K3=0,0,K3*10000/(K4*K5))</f>
        <v>0</v>
      </c>
      <c r="L6" s="181">
        <f>IF(L3=0,0,(L3*10000/(L4*L5)))</f>
        <v>0</v>
      </c>
      <c r="M6" s="338">
        <f>IF(M3=0,0,(M3*10000/(M4*M5)))</f>
        <v>0</v>
      </c>
      <c r="N6" s="182">
        <f>K6+L6+M6</f>
        <v>0</v>
      </c>
    </row>
    <row r="7" spans="1:14" ht="25" customHeight="1" thickTop="1" x14ac:dyDescent="0.35">
      <c r="A7" s="193" t="s">
        <v>161</v>
      </c>
      <c r="B7" s="193" t="s">
        <v>162</v>
      </c>
      <c r="C7" s="481" t="s">
        <v>170</v>
      </c>
      <c r="D7" s="165">
        <f>D6*D3</f>
        <v>690</v>
      </c>
      <c r="E7" s="165">
        <f>E6*E3</f>
        <v>0</v>
      </c>
      <c r="F7" s="165">
        <f>F6*F3</f>
        <v>0</v>
      </c>
      <c r="G7" s="165">
        <f>D7+E7+F7</f>
        <v>690</v>
      </c>
      <c r="H7" s="192" t="s">
        <v>161</v>
      </c>
      <c r="I7" s="194" t="s">
        <v>164</v>
      </c>
      <c r="J7" s="477" t="s">
        <v>171</v>
      </c>
      <c r="K7" s="183">
        <f>Descrizione!E4</f>
        <v>1</v>
      </c>
      <c r="L7" s="183">
        <f>Descrizione2C!E4</f>
        <v>0</v>
      </c>
      <c r="M7" s="183">
        <f>Descrizione3C!E4</f>
        <v>0</v>
      </c>
      <c r="N7" s="184">
        <f>K7+L7+M7</f>
        <v>1</v>
      </c>
    </row>
    <row r="8" spans="1:14" ht="27" customHeight="1" x14ac:dyDescent="0.35">
      <c r="A8" s="193" t="s">
        <v>161</v>
      </c>
      <c r="B8" s="193" t="s">
        <v>162</v>
      </c>
      <c r="C8" s="421" t="s">
        <v>172</v>
      </c>
      <c r="D8" s="146" t="s">
        <v>173</v>
      </c>
      <c r="E8" s="147">
        <v>0.32</v>
      </c>
      <c r="F8" s="147">
        <v>0.6</v>
      </c>
      <c r="G8" s="156"/>
      <c r="H8" s="192" t="s">
        <v>161</v>
      </c>
      <c r="I8" s="194" t="s">
        <v>164</v>
      </c>
      <c r="J8" s="478" t="s">
        <v>174</v>
      </c>
      <c r="K8" s="164">
        <f>D17*D14</f>
        <v>75</v>
      </c>
      <c r="L8" s="164">
        <f>E17*E14</f>
        <v>0</v>
      </c>
      <c r="M8" s="164">
        <f>F17*F14</f>
        <v>0</v>
      </c>
      <c r="N8" s="127">
        <f>K8+L8+M8</f>
        <v>75</v>
      </c>
    </row>
    <row r="9" spans="1:14" ht="27.65" customHeight="1" x14ac:dyDescent="0.35">
      <c r="A9" s="193" t="s">
        <v>161</v>
      </c>
      <c r="B9" s="193" t="s">
        <v>162</v>
      </c>
      <c r="C9" s="481" t="s">
        <v>175</v>
      </c>
      <c r="D9" s="164" t="str">
        <f>Descrizione!G7</f>
        <v>manuale</v>
      </c>
      <c r="E9" s="164" t="str">
        <f>Descrizione2C!G7</f>
        <v>manuale</v>
      </c>
      <c r="F9" s="164" t="str">
        <f>Descrizione3C!G7</f>
        <v>manuale</v>
      </c>
      <c r="G9" s="35"/>
      <c r="H9" s="192" t="s">
        <v>161</v>
      </c>
      <c r="I9" s="194" t="s">
        <v>164</v>
      </c>
      <c r="J9" s="478" t="s">
        <v>176</v>
      </c>
      <c r="K9" s="164">
        <v>0</v>
      </c>
      <c r="L9" s="164">
        <v>0</v>
      </c>
      <c r="M9" s="164">
        <v>0</v>
      </c>
      <c r="N9" s="127">
        <v>0</v>
      </c>
    </row>
    <row r="10" spans="1:14" ht="21.65" customHeight="1" x14ac:dyDescent="0.35">
      <c r="A10" s="193" t="s">
        <v>161</v>
      </c>
      <c r="B10" s="193" t="s">
        <v>162</v>
      </c>
      <c r="C10" s="481" t="s">
        <v>177</v>
      </c>
      <c r="D10" s="163">
        <f>IF(D3=0,0,(D4/D3))</f>
        <v>3200</v>
      </c>
      <c r="E10" s="163">
        <f>IF(E3=0,0,(E4/E3))</f>
        <v>0</v>
      </c>
      <c r="F10" s="163">
        <f>IF(F3=0,0,(F4/F3))</f>
        <v>0</v>
      </c>
      <c r="G10" s="155"/>
      <c r="H10" s="192" t="s">
        <v>161</v>
      </c>
      <c r="I10" s="194" t="s">
        <v>164</v>
      </c>
      <c r="J10" s="479" t="s">
        <v>178</v>
      </c>
      <c r="K10" s="164">
        <f>IF(K7&gt;0,K8,K9)</f>
        <v>75</v>
      </c>
      <c r="L10" s="164">
        <f>IF(L7&gt;0,L8,L9)</f>
        <v>0</v>
      </c>
      <c r="M10" s="164">
        <f>IF(M7&gt;0,M8,M9)</f>
        <v>0</v>
      </c>
      <c r="N10" s="127">
        <f>K10+L10+M10</f>
        <v>75</v>
      </c>
    </row>
    <row r="11" spans="1:14" ht="30" customHeight="1" x14ac:dyDescent="0.35">
      <c r="A11" s="193" t="s">
        <v>161</v>
      </c>
      <c r="B11" s="193" t="s">
        <v>162</v>
      </c>
      <c r="C11" s="482" t="s">
        <v>179</v>
      </c>
      <c r="D11" s="165">
        <f>IF(D9="manuale",0.6,IF(D9="meccanica",0.32,))</f>
        <v>0.6</v>
      </c>
      <c r="E11" s="165">
        <f>IF(E9="manuale",0.6,IF(E9="meccanica",0.32,))</f>
        <v>0.6</v>
      </c>
      <c r="F11" s="165">
        <f>IF(F9="manuale",0.6,IF(F9="meccanica",0.32,))</f>
        <v>0.6</v>
      </c>
      <c r="G11" s="35"/>
      <c r="H11" s="192" t="s">
        <v>161</v>
      </c>
      <c r="I11" s="194" t="s">
        <v>164</v>
      </c>
      <c r="J11" s="479" t="s">
        <v>102</v>
      </c>
      <c r="K11" s="165">
        <f>IF(K7=0,0,(D4*D20))</f>
        <v>4000</v>
      </c>
      <c r="L11" s="165">
        <f>IF(L7=0,0,(E4*E20))</f>
        <v>0</v>
      </c>
      <c r="M11" s="165">
        <f>IF(M7=0,0,(F4*F20))</f>
        <v>0</v>
      </c>
      <c r="N11" s="185">
        <f>K11+L11+M11</f>
        <v>4000</v>
      </c>
    </row>
    <row r="12" spans="1:14" ht="27.65" customHeight="1" x14ac:dyDescent="0.35">
      <c r="A12" s="193" t="s">
        <v>161</v>
      </c>
      <c r="B12" s="193" t="s">
        <v>162</v>
      </c>
      <c r="C12" s="482" t="s">
        <v>180</v>
      </c>
      <c r="D12" s="165">
        <f>D11*D4</f>
        <v>1920</v>
      </c>
      <c r="E12" s="165">
        <f>E11*E4</f>
        <v>0</v>
      </c>
      <c r="F12" s="165">
        <f>F11*F4</f>
        <v>0</v>
      </c>
      <c r="G12" s="153">
        <f>D12+E12+F12</f>
        <v>1920</v>
      </c>
      <c r="H12" s="192" t="s">
        <v>161</v>
      </c>
      <c r="I12" s="194" t="s">
        <v>164</v>
      </c>
      <c r="J12" s="479" t="s">
        <v>181</v>
      </c>
      <c r="K12" s="165">
        <f>IF(K7=0,0,(D4*D20))</f>
        <v>4000</v>
      </c>
      <c r="L12" s="165">
        <f>IF(L7=0,0,(E4*E20))</f>
        <v>0</v>
      </c>
      <c r="M12" s="165">
        <f>IF(M7=0,0,(F4*F20))</f>
        <v>0</v>
      </c>
      <c r="N12" s="185">
        <f>K12+L12+M12</f>
        <v>4000</v>
      </c>
    </row>
    <row r="13" spans="1:14" ht="25" customHeight="1" x14ac:dyDescent="0.35">
      <c r="A13" s="193" t="s">
        <v>161</v>
      </c>
      <c r="B13" s="193" t="s">
        <v>162</v>
      </c>
      <c r="C13" s="421" t="s">
        <v>81</v>
      </c>
      <c r="D13" s="164">
        <f>IF(D3=0,0,D14*2)</f>
        <v>60</v>
      </c>
      <c r="E13" s="164">
        <f>IF(E3=0,0,E14*2)</f>
        <v>0</v>
      </c>
      <c r="F13" s="164">
        <f>IF(F3=0,0,F14*2)</f>
        <v>0</v>
      </c>
      <c r="G13" s="153">
        <f>D13+E13+F13</f>
        <v>60</v>
      </c>
      <c r="H13" s="192" t="s">
        <v>161</v>
      </c>
      <c r="I13" s="194" t="s">
        <v>164</v>
      </c>
      <c r="J13" s="479" t="s">
        <v>182</v>
      </c>
      <c r="K13" s="164">
        <f>Descrizione!C8</f>
        <v>0.6</v>
      </c>
      <c r="L13" s="164">
        <f>Descrizione2C!C8</f>
        <v>0</v>
      </c>
      <c r="M13" s="164">
        <f>Descrizione3C!C8</f>
        <v>0.5</v>
      </c>
      <c r="N13" s="35"/>
    </row>
    <row r="14" spans="1:14" ht="25" customHeight="1" x14ac:dyDescent="0.35">
      <c r="A14" s="193" t="s">
        <v>161</v>
      </c>
      <c r="B14" s="193" t="s">
        <v>162</v>
      </c>
      <c r="C14" s="421" t="s">
        <v>183</v>
      </c>
      <c r="D14" s="164">
        <f>Descrizione!E7</f>
        <v>30</v>
      </c>
      <c r="E14" s="164">
        <f>Descrizione2C!E7</f>
        <v>0</v>
      </c>
      <c r="F14" s="164">
        <f>Descrizione3C!E7</f>
        <v>0</v>
      </c>
      <c r="G14" s="153">
        <f>D14+E14+F14</f>
        <v>30</v>
      </c>
      <c r="H14" s="192" t="s">
        <v>161</v>
      </c>
      <c r="I14" s="194" t="s">
        <v>164</v>
      </c>
      <c r="J14" s="479" t="s">
        <v>184</v>
      </c>
      <c r="K14" s="168">
        <f>IF(K7=0,0,K12/K13)</f>
        <v>6666.666666666667</v>
      </c>
      <c r="L14" s="168">
        <f>IF(L7=0,0,(L12/L13))</f>
        <v>0</v>
      </c>
      <c r="M14" s="168">
        <f>IF(M7=0,0,(M12/M13))</f>
        <v>0</v>
      </c>
      <c r="N14" s="185">
        <f>K14+L14+M14</f>
        <v>6666.666666666667</v>
      </c>
    </row>
    <row r="15" spans="1:14" ht="25.5" customHeight="1" x14ac:dyDescent="0.35">
      <c r="A15" s="193" t="s">
        <v>161</v>
      </c>
      <c r="B15" s="193" t="s">
        <v>162</v>
      </c>
      <c r="C15" s="421" t="s">
        <v>185</v>
      </c>
      <c r="D15" s="35"/>
      <c r="E15" s="35"/>
      <c r="F15" s="35"/>
      <c r="G15" s="35"/>
      <c r="H15" s="192" t="s">
        <v>161</v>
      </c>
      <c r="I15" s="194" t="s">
        <v>164</v>
      </c>
      <c r="J15" s="479" t="s">
        <v>186</v>
      </c>
      <c r="K15" s="164">
        <v>0</v>
      </c>
      <c r="L15" s="164">
        <v>0</v>
      </c>
      <c r="M15" s="164">
        <v>0</v>
      </c>
      <c r="N15" s="127">
        <v>0</v>
      </c>
    </row>
    <row r="16" spans="1:14" ht="17.149999999999999" customHeight="1" x14ac:dyDescent="0.35">
      <c r="A16" s="193" t="s">
        <v>161</v>
      </c>
      <c r="B16" s="193" t="s">
        <v>162</v>
      </c>
      <c r="C16" s="481" t="s">
        <v>187</v>
      </c>
      <c r="D16" s="165">
        <f>Descrizione!C7</f>
        <v>4.8</v>
      </c>
      <c r="E16" s="165">
        <f>Descrizione2C!C7</f>
        <v>5</v>
      </c>
      <c r="F16" s="165">
        <f>Descrizione3C!C7</f>
        <v>3</v>
      </c>
      <c r="G16" s="35"/>
      <c r="H16" s="192" t="s">
        <v>161</v>
      </c>
      <c r="I16" s="194" t="s">
        <v>164</v>
      </c>
      <c r="J16" s="480" t="s">
        <v>188</v>
      </c>
      <c r="K16" s="173">
        <f>IF(K7&gt;0,K14,K15)</f>
        <v>6666.666666666667</v>
      </c>
      <c r="L16" s="173">
        <f>IF(L7&gt;0,L14,L15)</f>
        <v>0</v>
      </c>
      <c r="M16" s="173">
        <f>IF(M7&gt;0,M14,M15)</f>
        <v>0</v>
      </c>
      <c r="N16" s="174">
        <f>K16+L16+M16</f>
        <v>6666.666666666667</v>
      </c>
    </row>
    <row r="17" spans="1:14" ht="19.5" customHeight="1" x14ac:dyDescent="0.35">
      <c r="A17" s="193" t="s">
        <v>161</v>
      </c>
      <c r="B17" s="193" t="s">
        <v>162</v>
      </c>
      <c r="C17" s="481" t="s">
        <v>150</v>
      </c>
      <c r="D17" s="165">
        <f>Descrizione!C6</f>
        <v>2.5</v>
      </c>
      <c r="E17" s="165">
        <f>Descrizione2C!C6</f>
        <v>3</v>
      </c>
      <c r="F17" s="165">
        <f>Descrizione3C!C6</f>
        <v>3</v>
      </c>
      <c r="G17" s="35"/>
      <c r="H17" s="192" t="s">
        <v>161</v>
      </c>
      <c r="I17" s="194" t="s">
        <v>164</v>
      </c>
      <c r="J17" s="197" t="s">
        <v>189</v>
      </c>
      <c r="K17" s="198">
        <f>Descrizione!C4</f>
        <v>0</v>
      </c>
      <c r="L17" s="198">
        <f>Descrizione2C!C4</f>
        <v>0</v>
      </c>
      <c r="M17" s="198">
        <f>Descrizione3C!C4</f>
        <v>0</v>
      </c>
      <c r="N17" s="214">
        <f>K17+L17+M17</f>
        <v>0</v>
      </c>
    </row>
    <row r="18" spans="1:14" ht="17.5" customHeight="1" x14ac:dyDescent="0.35">
      <c r="A18" s="193" t="s">
        <v>161</v>
      </c>
      <c r="B18" s="193" t="s">
        <v>162</v>
      </c>
      <c r="C18" s="481" t="s">
        <v>190</v>
      </c>
      <c r="D18" s="166">
        <f>IF(D3=0,0,(D3*10000/(D16*D17)))</f>
        <v>833.33333333333337</v>
      </c>
      <c r="E18" s="173">
        <f>IF(E3=0,0,(E3*10000/(E16*E17)))</f>
        <v>0</v>
      </c>
      <c r="F18" s="167">
        <f>IF(F3=0,0,(F3*10000/(F16*F17)))</f>
        <v>0</v>
      </c>
      <c r="G18" s="154">
        <f>D18+E18+F18</f>
        <v>833.33333333333337</v>
      </c>
      <c r="H18" s="192" t="s">
        <v>161</v>
      </c>
      <c r="I18" s="194" t="s">
        <v>164</v>
      </c>
      <c r="J18" s="197" t="s">
        <v>30</v>
      </c>
      <c r="K18" s="339" t="str">
        <f>Descrizione!G8</f>
        <v>ALTRO</v>
      </c>
      <c r="L18" s="339" t="str">
        <f>Descrizione2C!G8</f>
        <v>CASARSA</v>
      </c>
      <c r="M18" s="339" t="str">
        <f>Descrizione3C!G8</f>
        <v>CASARSA</v>
      </c>
      <c r="N18" s="157"/>
    </row>
    <row r="19" spans="1:14" x14ac:dyDescent="0.35">
      <c r="A19" s="193" t="s">
        <v>161</v>
      </c>
      <c r="B19" s="193" t="s">
        <v>162</v>
      </c>
      <c r="C19" s="481" t="s">
        <v>191</v>
      </c>
      <c r="D19" s="168">
        <f>IF(D3=0,0,(D18-D13))</f>
        <v>773.33333333333337</v>
      </c>
      <c r="E19" s="168">
        <f>IF(E3=0,0,(E18-E13))</f>
        <v>0</v>
      </c>
      <c r="F19" s="168">
        <f>IF(F3=0,0,(F18-F13))</f>
        <v>0</v>
      </c>
      <c r="G19" s="154">
        <f>D19+E19+F19</f>
        <v>773.33333333333337</v>
      </c>
      <c r="H19" s="192" t="s">
        <v>161</v>
      </c>
      <c r="I19" s="194" t="s">
        <v>164</v>
      </c>
      <c r="J19" s="197" t="s">
        <v>192</v>
      </c>
      <c r="K19" s="165">
        <f>IF(K18="GDC",1000,IF(K18="CASARSA",900,IF(K18="ALTRO",1200)))</f>
        <v>1200</v>
      </c>
      <c r="L19" s="341">
        <f>IF(L18="GDC",900,IF(L18="CASARSA",1000,IF(L18="ALTRO",1200)))</f>
        <v>1000</v>
      </c>
      <c r="M19" s="170">
        <f>IF(M18="GDC",1000,IF(M18="CASARSA",900,IF(M18="ALTRO",1200)))</f>
        <v>900</v>
      </c>
      <c r="N19" s="157"/>
    </row>
    <row r="20" spans="1:14" ht="24.65" customHeight="1" x14ac:dyDescent="0.35">
      <c r="A20" s="193" t="s">
        <v>161</v>
      </c>
      <c r="B20" s="193" t="s">
        <v>162</v>
      </c>
      <c r="C20" s="421" t="s">
        <v>151</v>
      </c>
      <c r="D20" s="165">
        <f>Descrizione!E6</f>
        <v>1.25</v>
      </c>
      <c r="E20" s="165">
        <f>Descrizione2C!E6</f>
        <v>1.5</v>
      </c>
      <c r="F20" s="165">
        <f>Descrizione3C!E6</f>
        <v>1.2</v>
      </c>
      <c r="G20" s="35"/>
      <c r="H20" s="192" t="s">
        <v>161</v>
      </c>
      <c r="I20" s="194" t="s">
        <v>164</v>
      </c>
      <c r="J20" s="197" t="s">
        <v>193</v>
      </c>
      <c r="K20" s="170">
        <f>K17*K19</f>
        <v>0</v>
      </c>
      <c r="L20" s="170">
        <f>L19*L17</f>
        <v>0</v>
      </c>
      <c r="M20" s="170">
        <f>M19*M17</f>
        <v>0</v>
      </c>
      <c r="N20" s="340">
        <f>K20+L20+M20</f>
        <v>0</v>
      </c>
    </row>
    <row r="21" spans="1:14" ht="30" customHeight="1" x14ac:dyDescent="0.35">
      <c r="A21" s="193" t="s">
        <v>161</v>
      </c>
      <c r="B21" s="193" t="s">
        <v>162</v>
      </c>
      <c r="C21" s="421" t="s">
        <v>194</v>
      </c>
      <c r="D21" s="165">
        <f>D4*D20</f>
        <v>4000</v>
      </c>
      <c r="E21" s="168">
        <f>E4*E20</f>
        <v>0</v>
      </c>
      <c r="F21" s="165">
        <f>F4*F20</f>
        <v>0</v>
      </c>
      <c r="G21" s="154">
        <f>D21+E21+F21</f>
        <v>4000</v>
      </c>
      <c r="H21" s="192" t="s">
        <v>161</v>
      </c>
      <c r="I21" s="194" t="s">
        <v>164</v>
      </c>
      <c r="J21" s="199" t="s">
        <v>64</v>
      </c>
      <c r="K21" s="170">
        <f>600*K17</f>
        <v>0</v>
      </c>
      <c r="L21" s="170">
        <f>600*L17</f>
        <v>0</v>
      </c>
      <c r="M21" s="170">
        <f>600*M17</f>
        <v>0</v>
      </c>
      <c r="N21" s="340">
        <f>K21+L21+M21</f>
        <v>0</v>
      </c>
    </row>
    <row r="22" spans="1:14" ht="19" customHeight="1" x14ac:dyDescent="0.35">
      <c r="A22" s="193" t="s">
        <v>161</v>
      </c>
      <c r="B22" s="193" t="s">
        <v>162</v>
      </c>
      <c r="C22" s="421" t="s">
        <v>195</v>
      </c>
      <c r="D22" s="164">
        <f>Descrizione!E5</f>
        <v>4</v>
      </c>
      <c r="E22" s="164">
        <f>Descrizione2C!E5</f>
        <v>3</v>
      </c>
      <c r="F22" s="164">
        <f>Descrizione3C!E5</f>
        <v>0</v>
      </c>
      <c r="G22" s="35"/>
      <c r="H22" s="192" t="s">
        <v>161</v>
      </c>
      <c r="I22" s="196"/>
      <c r="J22" s="190" t="s">
        <v>196</v>
      </c>
      <c r="K22" s="170">
        <f>IF(K18="GDC",500,IF(K18="ALTRO",700,IF(K18="CASARSA",700)))</f>
        <v>700</v>
      </c>
      <c r="L22" s="341">
        <f>IF(L18="GDC",500,IF(L18="ALTRO",700,IF(L18="CASARSA",700)))</f>
        <v>700</v>
      </c>
      <c r="M22" s="170">
        <f>IF(M18="GDC",500,IF(M18="ALTRO",700,IF(M18="CASARSA",700)))</f>
        <v>700</v>
      </c>
      <c r="N22" s="171"/>
    </row>
    <row r="23" spans="1:14" ht="19.5" customHeight="1" x14ac:dyDescent="0.35">
      <c r="A23" s="193" t="s">
        <v>161</v>
      </c>
      <c r="B23" s="193" t="s">
        <v>162</v>
      </c>
      <c r="C23" s="421" t="s">
        <v>197</v>
      </c>
      <c r="D23" s="165">
        <f>IF(D22=0,0,(D21*(D22-1)))</f>
        <v>12000</v>
      </c>
      <c r="E23" s="168">
        <f>IF(E22=0,0,(E21*(E22-1)))</f>
        <v>0</v>
      </c>
      <c r="F23" s="165">
        <f>IF(F22=0,0,(F21*(F22-1)))</f>
        <v>0</v>
      </c>
      <c r="G23" s="154">
        <f>D23+E23+F23</f>
        <v>12000</v>
      </c>
      <c r="H23" s="201" t="s">
        <v>161</v>
      </c>
      <c r="I23" s="202"/>
      <c r="J23" s="190" t="s">
        <v>198</v>
      </c>
      <c r="K23" s="342">
        <f>K22*K17</f>
        <v>0</v>
      </c>
      <c r="L23" s="342">
        <f>L22*L17</f>
        <v>0</v>
      </c>
      <c r="M23" s="342">
        <f>M22*M17</f>
        <v>0</v>
      </c>
      <c r="N23" s="343">
        <f>K23+L23+M23</f>
        <v>0</v>
      </c>
    </row>
    <row r="24" spans="1:14" ht="29.15" customHeight="1" x14ac:dyDescent="0.35">
      <c r="A24" s="193" t="s">
        <v>161</v>
      </c>
      <c r="B24" s="193" t="s">
        <v>162</v>
      </c>
      <c r="C24" s="481" t="s">
        <v>199</v>
      </c>
      <c r="D24" s="334" t="str">
        <f>Descrizione!C5</f>
        <v>GUYOT</v>
      </c>
      <c r="E24" s="334" t="str">
        <f>Descrizione2C!C5</f>
        <v>GUYOT</v>
      </c>
      <c r="F24" s="344">
        <f>G24</f>
        <v>0</v>
      </c>
      <c r="G24" s="336">
        <f>Descrizione3C!C5</f>
        <v>0</v>
      </c>
      <c r="H24" s="157"/>
      <c r="I24" s="192" t="s">
        <v>164</v>
      </c>
      <c r="J24" s="484" t="s">
        <v>200</v>
      </c>
      <c r="K24" s="169">
        <f>IF(D24="GDC",280,310)</f>
        <v>310</v>
      </c>
      <c r="L24" s="169">
        <f>IF(E24="GDC",280,310)</f>
        <v>310</v>
      </c>
      <c r="M24" s="169">
        <f>IF(G24="GDC",280,310)</f>
        <v>310</v>
      </c>
      <c r="N24" s="157"/>
    </row>
    <row r="25" spans="1:14" ht="26.5" customHeight="1" x14ac:dyDescent="0.35">
      <c r="A25" s="193" t="s">
        <v>161</v>
      </c>
      <c r="B25" s="193" t="s">
        <v>162</v>
      </c>
      <c r="C25" s="483" t="s">
        <v>201</v>
      </c>
      <c r="D25" s="170">
        <f>IF(D24="GDC",D19,0)</f>
        <v>0</v>
      </c>
      <c r="E25" s="170">
        <f>IF(E24="GDC",E19,0)</f>
        <v>0</v>
      </c>
      <c r="F25" s="170">
        <f>IF(G24="GDC",F19,0)</f>
        <v>0</v>
      </c>
      <c r="G25" s="195">
        <f>D25+E25+F25</f>
        <v>0</v>
      </c>
      <c r="H25" s="157"/>
      <c r="I25" s="192" t="s">
        <v>164</v>
      </c>
      <c r="J25" s="484" t="s">
        <v>202</v>
      </c>
      <c r="K25" s="200">
        <f>K24*D3*K26</f>
        <v>4805</v>
      </c>
      <c r="L25" s="200">
        <f>L24*E3*K26</f>
        <v>0</v>
      </c>
      <c r="M25" s="170">
        <f>M24*F3*K26</f>
        <v>0</v>
      </c>
      <c r="N25" s="215">
        <f>K25+L25+M25</f>
        <v>4805</v>
      </c>
    </row>
    <row r="26" spans="1:14" ht="20.5" customHeight="1" x14ac:dyDescent="0.35">
      <c r="A26" s="193" t="s">
        <v>161</v>
      </c>
      <c r="B26" s="193" t="s">
        <v>162</v>
      </c>
      <c r="C26" s="421" t="s">
        <v>203</v>
      </c>
      <c r="D26" s="170">
        <f>IF(D24="GDC",10500,8500)</f>
        <v>8500</v>
      </c>
      <c r="E26" s="170">
        <f>IF(E24="GDC",10500,8500)</f>
        <v>8500</v>
      </c>
      <c r="F26" s="170">
        <f>IF(G24="GDC",10500,8500)</f>
        <v>8500</v>
      </c>
      <c r="G26" s="157"/>
      <c r="H26" s="157"/>
      <c r="I26" s="192" t="s">
        <v>164</v>
      </c>
      <c r="J26" s="483" t="s">
        <v>204</v>
      </c>
      <c r="K26" s="170">
        <v>15.5</v>
      </c>
      <c r="L26" s="157"/>
      <c r="M26" s="157"/>
      <c r="N26" s="157"/>
    </row>
    <row r="27" spans="1:14" ht="21" customHeight="1" x14ac:dyDescent="0.35">
      <c r="A27" s="193" t="s">
        <v>161</v>
      </c>
      <c r="B27" s="193" t="s">
        <v>162</v>
      </c>
      <c r="C27" s="421" t="s">
        <v>205</v>
      </c>
      <c r="D27" s="170">
        <f>D26*D3</f>
        <v>8500</v>
      </c>
      <c r="E27" s="170">
        <f>E26*E3</f>
        <v>0</v>
      </c>
      <c r="F27" s="170">
        <f>F26*F3</f>
        <v>0</v>
      </c>
      <c r="G27" s="172">
        <f>D27+E27+F27</f>
        <v>8500</v>
      </c>
      <c r="J27" s="427" t="s">
        <v>276</v>
      </c>
    </row>
    <row r="28" spans="1:14" ht="20" customHeight="1" x14ac:dyDescent="0.35">
      <c r="A28" s="193" t="s">
        <v>161</v>
      </c>
      <c r="B28" s="193" t="s">
        <v>162</v>
      </c>
      <c r="C28" s="421" t="s">
        <v>206</v>
      </c>
      <c r="D28" s="165">
        <f>IF(D24="GDC",(D21*2),0)</f>
        <v>0</v>
      </c>
      <c r="E28" s="168">
        <f>IF(E24="GDC",(E21*2),0)</f>
        <v>0</v>
      </c>
      <c r="F28" s="165">
        <f>IF(G24="GDC",(F21*2),0)</f>
        <v>0</v>
      </c>
      <c r="G28" s="154">
        <f>D28+E28+F28</f>
        <v>0</v>
      </c>
      <c r="J28" s="324"/>
      <c r="K28" s="324"/>
      <c r="L28" s="324"/>
      <c r="M28" s="324"/>
      <c r="N28" s="324"/>
    </row>
    <row r="29" spans="1:14" ht="27" customHeight="1" x14ac:dyDescent="0.35">
      <c r="A29" s="933" t="s">
        <v>207</v>
      </c>
      <c r="B29" s="934"/>
      <c r="C29" s="484" t="s">
        <v>208</v>
      </c>
      <c r="D29" s="165">
        <f>IF(AND(D10&gt;=1,D10&lt;=3000),5900,IF(AND(D10&gt;3000,D10&lt;=4000),7500,IF(AND(D10&gt;=4001,D10&lt;= 1000000),9500,"")))</f>
        <v>7500</v>
      </c>
      <c r="E29" s="165">
        <f>IF(AND(E10=0,E10&lt;1),0,IF(AND(E10&gt;=1,E10&lt;=3000),5900,IF(AND(E10&gt;3000,E10&lt;=4000),7500,IF(AND(E10&gt;=4001,E10&lt;=1000000),9500,""""))))</f>
        <v>0</v>
      </c>
      <c r="F29" s="165">
        <f>IF(AND(F10=0,F10&lt;1),0,IF(AND(F10&gt;=1,F10&lt;=3000),5900,IF(AND(F10&gt;3000,F10&lt;=4000),7500,IF(AND(F10&gt;=4001,F10&lt;=1000000),9500,""""))))</f>
        <v>0</v>
      </c>
      <c r="G29" s="156"/>
      <c r="H29" s="193" t="s">
        <v>161</v>
      </c>
      <c r="I29" s="425" t="s">
        <v>162</v>
      </c>
      <c r="J29" s="421" t="s">
        <v>234</v>
      </c>
      <c r="K29" s="164">
        <f>IF(D5="pianura e collina &lt; 5%",721.67,IF(D5="collina da 5% a 15%",803.12,IF(D5="collina &gt;15%",0)))</f>
        <v>721.67</v>
      </c>
      <c r="L29" s="164">
        <f>IF(E5="pianura e collina &lt; 5%",721.67,IF(E5="collina da 5% a 15%",803.12,IF(E5="collina &gt;15%",0)))</f>
        <v>721.67</v>
      </c>
      <c r="M29" s="164">
        <f>IF(F5="pianura e collina &lt; 5%",721.67,IF(F5="collina da 5% a 15%",803.12,IF(F5="collina &gt;15%",0)))</f>
        <v>721.67</v>
      </c>
      <c r="N29" s="35"/>
    </row>
    <row r="30" spans="1:14" ht="40.5" customHeight="1" x14ac:dyDescent="0.35">
      <c r="A30" s="935" t="s">
        <v>207</v>
      </c>
      <c r="B30" s="936"/>
      <c r="C30" s="484" t="s">
        <v>233</v>
      </c>
      <c r="D30" s="165">
        <f>D29*D3</f>
        <v>7500</v>
      </c>
      <c r="E30" s="165">
        <f>E29*E3</f>
        <v>0</v>
      </c>
      <c r="F30" s="165">
        <f>F29*F3</f>
        <v>0</v>
      </c>
      <c r="G30" s="346">
        <f>D30+E30+F30</f>
        <v>7500</v>
      </c>
      <c r="H30" s="193" t="s">
        <v>161</v>
      </c>
      <c r="I30" s="425" t="s">
        <v>162</v>
      </c>
      <c r="J30" s="421" t="s">
        <v>238</v>
      </c>
      <c r="K30" s="165">
        <f>K29*D3</f>
        <v>721.67</v>
      </c>
      <c r="L30" s="165">
        <f>L29*E3</f>
        <v>0</v>
      </c>
      <c r="M30" s="165">
        <f>M29*F3</f>
        <v>0</v>
      </c>
      <c r="N30" s="346">
        <f>K30+L30+M30</f>
        <v>721.67</v>
      </c>
    </row>
    <row r="31" spans="1:14" ht="30.5" customHeight="1" x14ac:dyDescent="0.35">
      <c r="A31" s="935" t="s">
        <v>207</v>
      </c>
      <c r="B31" s="936"/>
      <c r="C31" s="937" t="s">
        <v>209</v>
      </c>
      <c r="D31" s="938"/>
      <c r="E31" s="938"/>
      <c r="F31" s="938"/>
      <c r="G31" s="397">
        <f>Fatturate!K21</f>
        <v>8640</v>
      </c>
      <c r="H31" s="193" t="s">
        <v>161</v>
      </c>
      <c r="I31" s="425" t="s">
        <v>162</v>
      </c>
      <c r="J31" s="421" t="s">
        <v>239</v>
      </c>
      <c r="K31" s="162">
        <f>IF(D5="pianura e collina &lt; 5%",D3,IF(D5="collina da 5% a 15%",D3,IF(D5="collina &gt;15%",0)))</f>
        <v>1</v>
      </c>
      <c r="L31" s="162">
        <f>IF(E5="pianura e collina &lt; 5%",E3,IF(E5="collina da 5% a 15%",E3,IF(E5="collina &gt;15%",0)))</f>
        <v>0</v>
      </c>
      <c r="M31" s="162">
        <f>IF(F5="pianura e collina &lt; 5%",F3,IF(F5="collina da 5% a 15%",F3,IF(F5="collina &gt;15%",0)))</f>
        <v>0</v>
      </c>
      <c r="N31" s="428">
        <f>K31+L31+M31</f>
        <v>1</v>
      </c>
    </row>
    <row r="32" spans="1:14" ht="27" customHeight="1" x14ac:dyDescent="0.35">
      <c r="H32" s="193" t="s">
        <v>161</v>
      </c>
      <c r="I32" s="425" t="s">
        <v>162</v>
      </c>
      <c r="J32" s="421" t="s">
        <v>235</v>
      </c>
      <c r="K32" s="165">
        <f>IF(N31&lt;2,((K30*0.1)+K30),K30)</f>
        <v>793.83699999999999</v>
      </c>
      <c r="L32" s="165">
        <f>IF(N31&lt;2,((L30*0.1)+L30),L30)</f>
        <v>0</v>
      </c>
      <c r="M32" s="165">
        <f>IF(N31&lt;2,((M30*0.1)+M30),M30)</f>
        <v>0</v>
      </c>
      <c r="N32" s="346">
        <f>K32+L32+M32</f>
        <v>793.83699999999999</v>
      </c>
    </row>
  </sheetData>
  <mergeCells count="6">
    <mergeCell ref="H2:I2"/>
    <mergeCell ref="A2:B2"/>
    <mergeCell ref="A29:B29"/>
    <mergeCell ref="A30:B30"/>
    <mergeCell ref="A31:B31"/>
    <mergeCell ref="C31:F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5</vt:i4>
      </vt:variant>
    </vt:vector>
  </HeadingPairs>
  <TitlesOfParts>
    <vt:vector size="14" baseType="lpstr">
      <vt:lpstr>Descrizione</vt:lpstr>
      <vt:lpstr>Descrizione2C</vt:lpstr>
      <vt:lpstr>Descrizione3C</vt:lpstr>
      <vt:lpstr>Vitigni</vt:lpstr>
      <vt:lpstr>Fatturate</vt:lpstr>
      <vt:lpstr>Economia</vt:lpstr>
      <vt:lpstr>Riepilogo costi sostenuti</vt:lpstr>
      <vt:lpstr>Prova1</vt:lpstr>
      <vt:lpstr>Calcoli</vt:lpstr>
      <vt:lpstr>Descrizione!Area_stampa</vt:lpstr>
      <vt:lpstr>Descrizione2C!Area_stampa</vt:lpstr>
      <vt:lpstr>Economia!Area_stampa</vt:lpstr>
      <vt:lpstr>Fatturate!Area_stampa</vt:lpstr>
      <vt:lpstr>'Riepilogo costi sostenuti'!Area_stampa</vt:lpstr>
    </vt:vector>
  </TitlesOfParts>
  <Manager/>
  <Company>Agrea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Agrea</dc:creator>
  <cp:keywords/>
  <dc:description/>
  <cp:lastModifiedBy>Marini Andrea</cp:lastModifiedBy>
  <cp:revision/>
  <cp:lastPrinted>2023-02-15T14:36:56Z</cp:lastPrinted>
  <dcterms:created xsi:type="dcterms:W3CDTF">2014-05-14T10:52:58Z</dcterms:created>
  <dcterms:modified xsi:type="dcterms:W3CDTF">2023-10-15T07:13:29Z</dcterms:modified>
  <cp:category/>
  <cp:contentStatus/>
</cp:coreProperties>
</file>